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\Desktop\Timelines\"/>
    </mc:Choice>
  </mc:AlternateContent>
  <bookViews>
    <workbookView xWindow="0" yWindow="0" windowWidth="28800" windowHeight="11730"/>
  </bookViews>
  <sheets>
    <sheet name="Timeline" sheetId="2" r:id="rId1"/>
    <sheet name="NIH Documents" sheetId="3" r:id="rId2"/>
    <sheet name="Budget" sheetId="6" r:id="rId3"/>
    <sheet name="lists" sheetId="5" state="hidden" r:id="rId4"/>
  </sheets>
  <definedNames>
    <definedName name="agelist">lists!$B$3:$B$8</definedName>
    <definedName name="allocationlist">lists!$H$13:$H$15</definedName>
    <definedName name="countrylist">lists!$L$2:$L$252</definedName>
    <definedName name="firstlist">lists!$F$3:$F$4</definedName>
    <definedName name="modellist">lists!$F$13:$F$18</definedName>
    <definedName name="phaselist">lists!$D$13:$D$20</definedName>
    <definedName name="_xlnm.Print_Area" localSheetId="2">Budget!$A$1:$N$134</definedName>
    <definedName name="_xlnm.Print_Area" localSheetId="1">'NIH Documents'!$A$1:$F$50</definedName>
    <definedName name="purposelist">lists!$H$3:$H$11</definedName>
    <definedName name="recruitmentlist">lists!$D$3:$D$10</definedName>
  </definedNames>
  <calcPr calcId="162913"/>
</workbook>
</file>

<file path=xl/calcChain.xml><?xml version="1.0" encoding="utf-8"?>
<calcChain xmlns="http://schemas.openxmlformats.org/spreadsheetml/2006/main">
  <c r="C123" i="6" l="1"/>
  <c r="F114" i="6"/>
  <c r="D114" i="6"/>
  <c r="D111" i="6"/>
  <c r="L108" i="6"/>
  <c r="J108" i="6"/>
  <c r="H108" i="6"/>
  <c r="F108" i="6"/>
  <c r="F111" i="6" s="1"/>
  <c r="D108" i="6"/>
  <c r="D105" i="6"/>
  <c r="L102" i="6"/>
  <c r="J102" i="6"/>
  <c r="J114" i="6" s="1"/>
  <c r="H102" i="6"/>
  <c r="F102" i="6"/>
  <c r="D102" i="6"/>
  <c r="F98" i="6"/>
  <c r="H98" i="6" s="1"/>
  <c r="D98" i="6"/>
  <c r="L95" i="6"/>
  <c r="L114" i="6" s="1"/>
  <c r="J95" i="6"/>
  <c r="H95" i="6"/>
  <c r="H114" i="6" s="1"/>
  <c r="F95" i="6"/>
  <c r="D95" i="6"/>
  <c r="Q89" i="6"/>
  <c r="F87" i="6" s="1"/>
  <c r="F89" i="6" s="1"/>
  <c r="Q88" i="6"/>
  <c r="H87" i="6"/>
  <c r="H89" i="6" s="1"/>
  <c r="L85" i="6"/>
  <c r="J85" i="6"/>
  <c r="H85" i="6"/>
  <c r="F85" i="6"/>
  <c r="D85" i="6"/>
  <c r="L69" i="6"/>
  <c r="J69" i="6"/>
  <c r="H69" i="6"/>
  <c r="F69" i="6"/>
  <c r="D69" i="6"/>
  <c r="L62" i="6"/>
  <c r="J62" i="6"/>
  <c r="H62" i="6"/>
  <c r="F62" i="6"/>
  <c r="D62" i="6"/>
  <c r="L49" i="6"/>
  <c r="J49" i="6"/>
  <c r="H49" i="6"/>
  <c r="L48" i="6"/>
  <c r="J48" i="6"/>
  <c r="H48" i="6"/>
  <c r="F48" i="6"/>
  <c r="F49" i="6" s="1"/>
  <c r="D48" i="6"/>
  <c r="D49" i="6" s="1"/>
  <c r="L46" i="6"/>
  <c r="J46" i="6"/>
  <c r="H46" i="6"/>
  <c r="F46" i="6"/>
  <c r="D46" i="6"/>
  <c r="J42" i="6"/>
  <c r="K41" i="6"/>
  <c r="J41" i="6"/>
  <c r="I41" i="6"/>
  <c r="G41" i="6"/>
  <c r="E41" i="6"/>
  <c r="B41" i="6"/>
  <c r="L40" i="6"/>
  <c r="L41" i="6" s="1"/>
  <c r="L42" i="6" s="1"/>
  <c r="J40" i="6"/>
  <c r="H40" i="6"/>
  <c r="H41" i="6" s="1"/>
  <c r="H42" i="6" s="1"/>
  <c r="F40" i="6"/>
  <c r="F41" i="6" s="1"/>
  <c r="F42" i="6" s="1"/>
  <c r="D40" i="6"/>
  <c r="D41" i="6" s="1"/>
  <c r="D42" i="6" s="1"/>
  <c r="K37" i="6"/>
  <c r="L37" i="6" s="1"/>
  <c r="L38" i="6" s="1"/>
  <c r="J37" i="6"/>
  <c r="J38" i="6" s="1"/>
  <c r="I37" i="6"/>
  <c r="G37" i="6"/>
  <c r="F37" i="6"/>
  <c r="F38" i="6" s="1"/>
  <c r="E37" i="6"/>
  <c r="D37" i="6"/>
  <c r="D38" i="6" s="1"/>
  <c r="B37" i="6"/>
  <c r="L36" i="6"/>
  <c r="W24" i="6" s="1"/>
  <c r="J36" i="6"/>
  <c r="H36" i="6"/>
  <c r="H37" i="6" s="1"/>
  <c r="H38" i="6" s="1"/>
  <c r="F36" i="6"/>
  <c r="D36" i="6"/>
  <c r="J34" i="6"/>
  <c r="K33" i="6"/>
  <c r="J33" i="6"/>
  <c r="I33" i="6"/>
  <c r="G33" i="6"/>
  <c r="E33" i="6"/>
  <c r="B33" i="6"/>
  <c r="L32" i="6"/>
  <c r="L33" i="6" s="1"/>
  <c r="L34" i="6" s="1"/>
  <c r="J32" i="6"/>
  <c r="H32" i="6"/>
  <c r="H33" i="6" s="1"/>
  <c r="H34" i="6" s="1"/>
  <c r="F32" i="6"/>
  <c r="F33" i="6" s="1"/>
  <c r="F34" i="6" s="1"/>
  <c r="D32" i="6"/>
  <c r="D33" i="6" s="1"/>
  <c r="D34" i="6" s="1"/>
  <c r="K29" i="6"/>
  <c r="L29" i="6" s="1"/>
  <c r="L30" i="6" s="1"/>
  <c r="J29" i="6"/>
  <c r="J30" i="6" s="1"/>
  <c r="I29" i="6"/>
  <c r="G29" i="6"/>
  <c r="F29" i="6"/>
  <c r="F30" i="6" s="1"/>
  <c r="E29" i="6"/>
  <c r="B29" i="6"/>
  <c r="R28" i="6"/>
  <c r="L28" i="6"/>
  <c r="J28" i="6"/>
  <c r="H28" i="6"/>
  <c r="H29" i="6" s="1"/>
  <c r="H30" i="6" s="1"/>
  <c r="F28" i="6"/>
  <c r="D28" i="6"/>
  <c r="D29" i="6" s="1"/>
  <c r="D30" i="6" s="1"/>
  <c r="V26" i="6"/>
  <c r="R26" i="6"/>
  <c r="V25" i="6"/>
  <c r="T25" i="6"/>
  <c r="S25" i="6"/>
  <c r="K25" i="6"/>
  <c r="I25" i="6"/>
  <c r="G25" i="6"/>
  <c r="E25" i="6"/>
  <c r="F25" i="6" s="1"/>
  <c r="F26" i="6" s="1"/>
  <c r="D25" i="6"/>
  <c r="D26" i="6" s="1"/>
  <c r="B25" i="6"/>
  <c r="V24" i="6"/>
  <c r="U24" i="6"/>
  <c r="T24" i="6"/>
  <c r="T26" i="6" s="1"/>
  <c r="S24" i="6"/>
  <c r="S26" i="6" s="1"/>
  <c r="Q24" i="6"/>
  <c r="Q26" i="6" s="1"/>
  <c r="Q28" i="6" s="1"/>
  <c r="L24" i="6"/>
  <c r="L25" i="6" s="1"/>
  <c r="L26" i="6" s="1"/>
  <c r="J24" i="6"/>
  <c r="J25" i="6" s="1"/>
  <c r="J26" i="6" s="1"/>
  <c r="F24" i="6"/>
  <c r="D24" i="6"/>
  <c r="P23" i="6"/>
  <c r="R22" i="6"/>
  <c r="K21" i="6"/>
  <c r="L21" i="6" s="1"/>
  <c r="L22" i="6" s="1"/>
  <c r="J21" i="6"/>
  <c r="J22" i="6" s="1"/>
  <c r="I21" i="6"/>
  <c r="G21" i="6"/>
  <c r="E21" i="6"/>
  <c r="B21" i="6"/>
  <c r="R20" i="6"/>
  <c r="D19" i="6"/>
  <c r="W18" i="6"/>
  <c r="W19" i="6" s="1"/>
  <c r="W20" i="6" s="1"/>
  <c r="S18" i="6"/>
  <c r="S19" i="6" s="1"/>
  <c r="Q18" i="6"/>
  <c r="K18" i="6"/>
  <c r="L18" i="6" s="1"/>
  <c r="L19" i="6" s="1"/>
  <c r="J18" i="6"/>
  <c r="J19" i="6" s="1"/>
  <c r="I18" i="6"/>
  <c r="G18" i="6"/>
  <c r="E18" i="6"/>
  <c r="D18" i="6"/>
  <c r="B18" i="6"/>
  <c r="Q20" i="6" s="1"/>
  <c r="Q22" i="6" s="1"/>
  <c r="P17" i="6"/>
  <c r="L17" i="6"/>
  <c r="J17" i="6"/>
  <c r="V18" i="6" s="1"/>
  <c r="H17" i="6"/>
  <c r="H21" i="6" s="1"/>
  <c r="H22" i="6" s="1"/>
  <c r="F17" i="6"/>
  <c r="T18" i="6" s="1"/>
  <c r="D17" i="6"/>
  <c r="D21" i="6" s="1"/>
  <c r="D22" i="6" s="1"/>
  <c r="R15" i="6"/>
  <c r="R14" i="6"/>
  <c r="R16" i="6" s="1"/>
  <c r="K14" i="6"/>
  <c r="I14" i="6"/>
  <c r="G14" i="6"/>
  <c r="F14" i="6"/>
  <c r="F15" i="6" s="1"/>
  <c r="E14" i="6"/>
  <c r="B14" i="6"/>
  <c r="Q15" i="6" s="1"/>
  <c r="H12" i="6"/>
  <c r="Q11" i="6"/>
  <c r="Q14" i="6" s="1"/>
  <c r="Q16" i="6" s="1"/>
  <c r="L11" i="6"/>
  <c r="K11" i="6"/>
  <c r="I11" i="6"/>
  <c r="H11" i="6"/>
  <c r="G11" i="6"/>
  <c r="E11" i="6"/>
  <c r="B11" i="6"/>
  <c r="P10" i="6"/>
  <c r="L10" i="6"/>
  <c r="L14" i="6" s="1"/>
  <c r="L15" i="6" s="1"/>
  <c r="J10" i="6"/>
  <c r="J14" i="6" s="1"/>
  <c r="J15" i="6" s="1"/>
  <c r="H10" i="6"/>
  <c r="U11" i="6" s="1"/>
  <c r="F10" i="6"/>
  <c r="F11" i="6" s="1"/>
  <c r="D10" i="6"/>
  <c r="D11" i="6" s="1"/>
  <c r="F7" i="6"/>
  <c r="F8" i="6" s="1"/>
  <c r="H7" i="6" s="1"/>
  <c r="H8" i="6" s="1"/>
  <c r="J7" i="6" s="1"/>
  <c r="J8" i="6" s="1"/>
  <c r="L7" i="6" s="1"/>
  <c r="L8" i="6" s="1"/>
  <c r="D12" i="6" l="1"/>
  <c r="D53" i="6" s="1"/>
  <c r="D120" i="6" s="1"/>
  <c r="T19" i="6"/>
  <c r="T20" i="6" s="1"/>
  <c r="L53" i="6"/>
  <c r="F12" i="6"/>
  <c r="U12" i="6"/>
  <c r="U13" i="6"/>
  <c r="V19" i="6"/>
  <c r="V20" i="6" s="1"/>
  <c r="W25" i="6"/>
  <c r="W26" i="6" s="1"/>
  <c r="L98" i="6"/>
  <c r="J87" i="6"/>
  <c r="J89" i="6" s="1"/>
  <c r="T11" i="6"/>
  <c r="L12" i="6"/>
  <c r="H14" i="6"/>
  <c r="H15" i="6" s="1"/>
  <c r="U25" i="6"/>
  <c r="U26" i="6" s="1"/>
  <c r="L87" i="6"/>
  <c r="L89" i="6" s="1"/>
  <c r="L116" i="6" s="1"/>
  <c r="J98" i="6"/>
  <c r="F105" i="6"/>
  <c r="H105" i="6" s="1"/>
  <c r="F18" i="6"/>
  <c r="F19" i="6" s="1"/>
  <c r="S20" i="6"/>
  <c r="F21" i="6"/>
  <c r="F22" i="6" s="1"/>
  <c r="J11" i="6"/>
  <c r="W11" i="6"/>
  <c r="H18" i="6"/>
  <c r="H19" i="6" s="1"/>
  <c r="U18" i="6"/>
  <c r="H111" i="6"/>
  <c r="L111" i="6" s="1"/>
  <c r="S11" i="6"/>
  <c r="V11" i="6"/>
  <c r="D14" i="6"/>
  <c r="D15" i="6" s="1"/>
  <c r="D87" i="6"/>
  <c r="D89" i="6" s="1"/>
  <c r="J111" i="6"/>
  <c r="L118" i="6" l="1"/>
  <c r="D116" i="6"/>
  <c r="D122" i="6"/>
  <c r="D123" i="6"/>
  <c r="U19" i="6"/>
  <c r="U20" i="6"/>
  <c r="J53" i="6"/>
  <c r="J12" i="6"/>
  <c r="W12" i="6"/>
  <c r="W13" i="6"/>
  <c r="J105" i="6"/>
  <c r="L105" i="6" s="1"/>
  <c r="L120" i="6" s="1"/>
  <c r="L122" i="6" s="1"/>
  <c r="L125" i="6" s="1"/>
  <c r="V12" i="6"/>
  <c r="V13" i="6"/>
  <c r="F53" i="6"/>
  <c r="S12" i="6"/>
  <c r="S13" i="6" s="1"/>
  <c r="H24" i="6" s="1"/>
  <c r="H25" i="6" s="1"/>
  <c r="T12" i="6"/>
  <c r="T13" i="6" s="1"/>
  <c r="H26" i="6" l="1"/>
  <c r="H53" i="6" s="1"/>
  <c r="J120" i="6"/>
  <c r="J122" i="6" s="1"/>
  <c r="J116" i="6"/>
  <c r="D125" i="6"/>
  <c r="D118" i="6"/>
  <c r="F120" i="6"/>
  <c r="F122" i="6" s="1"/>
  <c r="F116" i="6"/>
  <c r="H120" i="6" l="1"/>
  <c r="H122" i="6" s="1"/>
  <c r="H116" i="6"/>
  <c r="F125" i="6"/>
  <c r="F118" i="6"/>
  <c r="J125" i="6"/>
  <c r="J118" i="6"/>
  <c r="H125" i="6" l="1"/>
  <c r="H118" i="6"/>
  <c r="D5" i="2" l="1"/>
  <c r="D7" i="2"/>
  <c r="D49" i="3"/>
  <c r="D6" i="2"/>
  <c r="D4" i="2"/>
  <c r="D15" i="3" l="1"/>
  <c r="D46" i="3"/>
  <c r="D45" i="3"/>
  <c r="D36" i="3"/>
  <c r="D35" i="3"/>
  <c r="D34" i="3"/>
  <c r="D33" i="3"/>
  <c r="D39" i="3"/>
  <c r="D38" i="3"/>
  <c r="D26" i="3"/>
  <c r="D19" i="3"/>
  <c r="D30" i="3"/>
  <c r="D25" i="3"/>
  <c r="D23" i="3"/>
  <c r="D22" i="3"/>
  <c r="D21" i="3"/>
  <c r="D24" i="3"/>
  <c r="D29" i="3"/>
  <c r="D27" i="3"/>
  <c r="D28" i="3"/>
  <c r="D10" i="3"/>
  <c r="D9" i="3"/>
  <c r="D16" i="3"/>
  <c r="D32" i="3"/>
  <c r="D20" i="3"/>
  <c r="D43" i="3"/>
  <c r="D14" i="3"/>
  <c r="D17" i="3"/>
  <c r="D12" i="3"/>
  <c r="D37" i="3"/>
  <c r="D13" i="3"/>
  <c r="D4" i="3"/>
  <c r="D7" i="3"/>
  <c r="D5" i="3"/>
  <c r="D11" i="3"/>
  <c r="D47" i="3"/>
  <c r="D48" i="3" s="1"/>
  <c r="D31" i="3"/>
  <c r="D40" i="3"/>
  <c r="D6" i="3"/>
  <c r="D42" i="3"/>
  <c r="D41" i="3"/>
  <c r="D44" i="3"/>
</calcChain>
</file>

<file path=xl/sharedStrings.xml><?xml version="1.0" encoding="utf-8"?>
<sst xmlns="http://schemas.openxmlformats.org/spreadsheetml/2006/main" count="794" uniqueCount="697">
  <si>
    <t>Sponsor</t>
  </si>
  <si>
    <t>Proposal Due to:</t>
  </si>
  <si>
    <t>Date Required:</t>
  </si>
  <si>
    <t>Complete proposal</t>
  </si>
  <si>
    <t>Enter due date here:</t>
  </si>
  <si>
    <t>Research Office</t>
  </si>
  <si>
    <t>2 weeks prior to due date</t>
  </si>
  <si>
    <t xml:space="preserve">When Due: </t>
  </si>
  <si>
    <t xml:space="preserve">Timeline for Sponsored Project Submissions </t>
  </si>
  <si>
    <t>Project Narrative, Bio Sketches, Current &amp; Pending forms, Sub Award Documents, any additional sponsor requirements</t>
  </si>
  <si>
    <t>UD Budget</t>
  </si>
  <si>
    <t>Bio Sketches (UD &amp; Subs)</t>
  </si>
  <si>
    <t>Project Narrative</t>
  </si>
  <si>
    <t>Documents:</t>
  </si>
  <si>
    <t>Appendices</t>
  </si>
  <si>
    <t>To:</t>
  </si>
  <si>
    <t>Web form can begin routing for Institutional approvals</t>
  </si>
  <si>
    <t>Routing of Cayuse proposal for PI approvals</t>
  </si>
  <si>
    <t>Research Office Review of proposals</t>
  </si>
  <si>
    <t>Cayuse Routing</t>
  </si>
  <si>
    <t>ASAP</t>
  </si>
  <si>
    <t>Sponsored Program Coordinator</t>
  </si>
  <si>
    <t>Completed PeopleSoft (RO System)
Complete Proposal in Agency's Portal 
(Cayuse, ProposalCentral, etc.)</t>
  </si>
  <si>
    <t>Abstract, Budget, Budget Justification,  Provider Category Determination worksheet for Vendor/Sub/Consultants, Sub Award Budgets/Contact information</t>
  </si>
  <si>
    <t>Notification</t>
  </si>
  <si>
    <t>SPC</t>
  </si>
  <si>
    <t>Submission to NIH</t>
  </si>
  <si>
    <t>Budget Justification</t>
  </si>
  <si>
    <t>3-4 weeks prior to due date</t>
  </si>
  <si>
    <r>
      <t xml:space="preserve">7  </t>
    </r>
    <r>
      <rPr>
        <b/>
        <u/>
        <sz val="11"/>
        <color theme="3"/>
        <rFont val="Calibri"/>
        <family val="2"/>
        <scheme val="minor"/>
      </rPr>
      <t>working days</t>
    </r>
    <r>
      <rPr>
        <b/>
        <sz val="11"/>
        <color theme="3"/>
        <rFont val="Calibri"/>
        <family val="2"/>
        <scheme val="minor"/>
      </rPr>
      <t xml:space="preserve"> prior to due date</t>
    </r>
  </si>
  <si>
    <t>4 weeks minimum notice</t>
  </si>
  <si>
    <t xml:space="preserve">What's Due:  </t>
  </si>
  <si>
    <t>Project Summary/Abstract</t>
  </si>
  <si>
    <t>Bibliography &amp; References Cited</t>
  </si>
  <si>
    <t>Facilites &amp; Other Resources</t>
  </si>
  <si>
    <t>Equipment</t>
  </si>
  <si>
    <t>Research Strategy</t>
  </si>
  <si>
    <t>Specific Aims</t>
  </si>
  <si>
    <t>Cover Letter (if required)</t>
  </si>
  <si>
    <t>Multiple PD/PI Leadership Plan (if applicable)</t>
  </si>
  <si>
    <t>Progress Report Publication List (as applicable)</t>
  </si>
  <si>
    <t>Authenticiation of Key Biological and/or Chemical Resources (only required when project will involve key biological and/or chemical resources)</t>
  </si>
  <si>
    <t>Vertebrate Animals (if Vertebrate Animals = yes)</t>
  </si>
  <si>
    <t>Letters of Support</t>
  </si>
  <si>
    <t>Statistical Design and Power</t>
  </si>
  <si>
    <t>Dissemination Plan</t>
  </si>
  <si>
    <t>Other Clinical Trial-related attachments (if application)</t>
  </si>
  <si>
    <t xml:space="preserve">Protection of Human Subjects </t>
  </si>
  <si>
    <t xml:space="preserve">Inclusion of Women &amp; Minorities </t>
  </si>
  <si>
    <t xml:space="preserve">Inclusion of Children </t>
  </si>
  <si>
    <t>Recruitment and Retention Plan</t>
  </si>
  <si>
    <t>Study Timeline</t>
  </si>
  <si>
    <t xml:space="preserve">Data and Safety Monitoring Plan </t>
  </si>
  <si>
    <t>Overall Structure of the Study Team</t>
  </si>
  <si>
    <t xml:space="preserve">PHS Inclusion Enrollment Report </t>
  </si>
  <si>
    <t>Consortium/Contractual Arrangements</t>
  </si>
  <si>
    <t>HARD DEADLINE</t>
  </si>
  <si>
    <t>PHS Assignment Request form</t>
  </si>
  <si>
    <t>Page limits</t>
  </si>
  <si>
    <t>3 sentences</t>
  </si>
  <si>
    <t>30 lines</t>
  </si>
  <si>
    <t>check FOA</t>
  </si>
  <si>
    <t>**Note - if any date falls on a weekend, documents will be due the Friday before</t>
  </si>
  <si>
    <t>Due Date:</t>
  </si>
  <si>
    <t>Notes</t>
  </si>
  <si>
    <t>Check:</t>
  </si>
  <si>
    <t>Notify SPC of intention to submit and provide FOA number/link</t>
  </si>
  <si>
    <t>Data/Resource Sharing Plan</t>
  </si>
  <si>
    <r>
      <t xml:space="preserve">Intro to Application (for resubmissions &amp; revision) </t>
    </r>
    <r>
      <rPr>
        <b/>
        <sz val="11"/>
        <color theme="1"/>
        <rFont val="Calibri"/>
        <family val="2"/>
        <scheme val="minor"/>
      </rPr>
      <t>*Federal Indentification Number (FIN) required by PI</t>
    </r>
  </si>
  <si>
    <r>
      <t xml:space="preserve">Sub Award Documents </t>
    </r>
    <r>
      <rPr>
        <i/>
        <sz val="11"/>
        <color theme="1"/>
        <rFont val="Calibri"/>
        <family val="2"/>
        <scheme val="minor"/>
      </rPr>
      <t>(SPC to obtain required documents)</t>
    </r>
  </si>
  <si>
    <t>N/A</t>
  </si>
  <si>
    <t>Years</t>
  </si>
  <si>
    <t>Months</t>
  </si>
  <si>
    <t>Weeks</t>
  </si>
  <si>
    <t>Days</t>
  </si>
  <si>
    <t>Hours</t>
  </si>
  <si>
    <t>Minutes</t>
  </si>
  <si>
    <t>Not yet recruiting</t>
  </si>
  <si>
    <t>Recruiting</t>
  </si>
  <si>
    <t>Enrolling by invitation</t>
  </si>
  <si>
    <t>Active, not recruiting</t>
  </si>
  <si>
    <t>Completed</t>
  </si>
  <si>
    <t>Suspended</t>
  </si>
  <si>
    <t>Terminated (Halted Prematurely)</t>
  </si>
  <si>
    <t>Withdrawan (No participants enrolled)</t>
  </si>
  <si>
    <t>Anticipated</t>
  </si>
  <si>
    <t>Actual</t>
  </si>
  <si>
    <t>Treatment</t>
  </si>
  <si>
    <t>Prevention</t>
  </si>
  <si>
    <t>Diagnostics</t>
  </si>
  <si>
    <t>Supportive Care</t>
  </si>
  <si>
    <t>Screening</t>
  </si>
  <si>
    <t>Health services research</t>
  </si>
  <si>
    <t>Basic Science</t>
  </si>
  <si>
    <t>Device Feasibility</t>
  </si>
  <si>
    <t>Other</t>
  </si>
  <si>
    <t>Early Phase 1 (or Phase 0)</t>
  </si>
  <si>
    <t>Phase 1</t>
  </si>
  <si>
    <t>Phase 1/2</t>
  </si>
  <si>
    <t>Phase 2</t>
  </si>
  <si>
    <t>Phase 2/3</t>
  </si>
  <si>
    <t>Phase 3</t>
  </si>
  <si>
    <t>Phase 4</t>
  </si>
  <si>
    <t>Single group</t>
  </si>
  <si>
    <t>Parallel</t>
  </si>
  <si>
    <t>Cross-over</t>
  </si>
  <si>
    <t>Factorial</t>
  </si>
  <si>
    <t>Sequential</t>
  </si>
  <si>
    <t>Randomized</t>
  </si>
  <si>
    <t>Not-Randomized</t>
  </si>
  <si>
    <t>Human Subjects NIH Policy</t>
  </si>
  <si>
    <t>USA</t>
  </si>
  <si>
    <t>AFG</t>
  </si>
  <si>
    <t>ALA</t>
  </si>
  <si>
    <t>ALB</t>
  </si>
  <si>
    <t>DZA</t>
  </si>
  <si>
    <t>ASM</t>
  </si>
  <si>
    <t>AND</t>
  </si>
  <si>
    <t>AGO</t>
  </si>
  <si>
    <t>AIA</t>
  </si>
  <si>
    <t>ATA</t>
  </si>
  <si>
    <t>ATG</t>
  </si>
  <si>
    <t>ARG</t>
  </si>
  <si>
    <t>ARM</t>
  </si>
  <si>
    <t>ABW</t>
  </si>
  <si>
    <t>AUS</t>
  </si>
  <si>
    <t>AUT</t>
  </si>
  <si>
    <t>AZE</t>
  </si>
  <si>
    <t>BHS</t>
  </si>
  <si>
    <t>BHR</t>
  </si>
  <si>
    <t>BGD</t>
  </si>
  <si>
    <t>BRB</t>
  </si>
  <si>
    <t>BLR</t>
  </si>
  <si>
    <t>BEL</t>
  </si>
  <si>
    <t>BLZ</t>
  </si>
  <si>
    <t>BEN</t>
  </si>
  <si>
    <t>BMU</t>
  </si>
  <si>
    <t>BTN</t>
  </si>
  <si>
    <t>BOL</t>
  </si>
  <si>
    <t>BES</t>
  </si>
  <si>
    <t>BIH</t>
  </si>
  <si>
    <t>BWA</t>
  </si>
  <si>
    <t>BVT</t>
  </si>
  <si>
    <t>BRA</t>
  </si>
  <si>
    <t>IOT</t>
  </si>
  <si>
    <t>VGB</t>
  </si>
  <si>
    <t>BRN</t>
  </si>
  <si>
    <t>BGR</t>
  </si>
  <si>
    <t>BFA</t>
  </si>
  <si>
    <t>BDI</t>
  </si>
  <si>
    <t>CPV</t>
  </si>
  <si>
    <t>KHM</t>
  </si>
  <si>
    <t>CMR</t>
  </si>
  <si>
    <t>CAN</t>
  </si>
  <si>
    <t>CYM</t>
  </si>
  <si>
    <t>CAF</t>
  </si>
  <si>
    <t>TCD</t>
  </si>
  <si>
    <t>CHL</t>
  </si>
  <si>
    <t>CHN</t>
  </si>
  <si>
    <t>HKG</t>
  </si>
  <si>
    <t>MAC</t>
  </si>
  <si>
    <t>CXR</t>
  </si>
  <si>
    <t>CCK</t>
  </si>
  <si>
    <t>COL</t>
  </si>
  <si>
    <t>COM</t>
  </si>
  <si>
    <t>COG</t>
  </si>
  <si>
    <t>COK</t>
  </si>
  <si>
    <t>CRI</t>
  </si>
  <si>
    <t>CIV</t>
  </si>
  <si>
    <t>HRV</t>
  </si>
  <si>
    <t>CUB</t>
  </si>
  <si>
    <t>CUW</t>
  </si>
  <si>
    <t>CYP</t>
  </si>
  <si>
    <t>CZE</t>
  </si>
  <si>
    <t>PRK</t>
  </si>
  <si>
    <t>COD</t>
  </si>
  <si>
    <t>DNK</t>
  </si>
  <si>
    <t>DJI</t>
  </si>
  <si>
    <t>DMA</t>
  </si>
  <si>
    <t>DOM</t>
  </si>
  <si>
    <t>ECU</t>
  </si>
  <si>
    <t>EGY</t>
  </si>
  <si>
    <t>SLV</t>
  </si>
  <si>
    <t>GNQ</t>
  </si>
  <si>
    <t>ERI</t>
  </si>
  <si>
    <t>EST</t>
  </si>
  <si>
    <t>SWZ</t>
  </si>
  <si>
    <t>ETH</t>
  </si>
  <si>
    <t>FLK</t>
  </si>
  <si>
    <t>FRO</t>
  </si>
  <si>
    <t>FJI</t>
  </si>
  <si>
    <t>FIN</t>
  </si>
  <si>
    <t>FRA</t>
  </si>
  <si>
    <t>GUF</t>
  </si>
  <si>
    <t>PYF</t>
  </si>
  <si>
    <t>ATF</t>
  </si>
  <si>
    <t>GAB</t>
  </si>
  <si>
    <t>GMB</t>
  </si>
  <si>
    <t>GEO</t>
  </si>
  <si>
    <t>DEU</t>
  </si>
  <si>
    <t>GHA</t>
  </si>
  <si>
    <t>GIB</t>
  </si>
  <si>
    <t>GRC</t>
  </si>
  <si>
    <t>GRL</t>
  </si>
  <si>
    <t>GRD</t>
  </si>
  <si>
    <t>GLP</t>
  </si>
  <si>
    <t>GUM</t>
  </si>
  <si>
    <t>GTM</t>
  </si>
  <si>
    <t>GGY</t>
  </si>
  <si>
    <t>GIN</t>
  </si>
  <si>
    <t>GNB</t>
  </si>
  <si>
    <t>GUY</t>
  </si>
  <si>
    <t>HTI</t>
  </si>
  <si>
    <t>HMD</t>
  </si>
  <si>
    <t>VAT</t>
  </si>
  <si>
    <t>HND</t>
  </si>
  <si>
    <t>HUN</t>
  </si>
  <si>
    <t>ISL</t>
  </si>
  <si>
    <t>IND</t>
  </si>
  <si>
    <t>IDN</t>
  </si>
  <si>
    <t>IRN</t>
  </si>
  <si>
    <t>IRQ</t>
  </si>
  <si>
    <t>IRL</t>
  </si>
  <si>
    <t>IMN</t>
  </si>
  <si>
    <t>ISR</t>
  </si>
  <si>
    <t>ITA</t>
  </si>
  <si>
    <t>JAM</t>
  </si>
  <si>
    <t>JPN</t>
  </si>
  <si>
    <t>JEY</t>
  </si>
  <si>
    <t>JOR</t>
  </si>
  <si>
    <t>KAZ</t>
  </si>
  <si>
    <t>KEN</t>
  </si>
  <si>
    <t>KIR</t>
  </si>
  <si>
    <t>KWT</t>
  </si>
  <si>
    <t>KGZ</t>
  </si>
  <si>
    <t>LAO</t>
  </si>
  <si>
    <t>LVA</t>
  </si>
  <si>
    <t>LBN</t>
  </si>
  <si>
    <t>LSO</t>
  </si>
  <si>
    <t>LBR</t>
  </si>
  <si>
    <t>LBY</t>
  </si>
  <si>
    <t>LIE</t>
  </si>
  <si>
    <t>LTU</t>
  </si>
  <si>
    <t>LUX</t>
  </si>
  <si>
    <t>MDG</t>
  </si>
  <si>
    <t>MWI</t>
  </si>
  <si>
    <t>MYS</t>
  </si>
  <si>
    <t>MDV</t>
  </si>
  <si>
    <t>MLI</t>
  </si>
  <si>
    <t>MLT</t>
  </si>
  <si>
    <t>MHL</t>
  </si>
  <si>
    <t>MTQ</t>
  </si>
  <si>
    <t>MRT</t>
  </si>
  <si>
    <t>MUS</t>
  </si>
  <si>
    <t>MYT</t>
  </si>
  <si>
    <t>MEX</t>
  </si>
  <si>
    <t>FSM</t>
  </si>
  <si>
    <t>MCO</t>
  </si>
  <si>
    <t>MNG</t>
  </si>
  <si>
    <t>MNE</t>
  </si>
  <si>
    <t>MSR</t>
  </si>
  <si>
    <t>MAR</t>
  </si>
  <si>
    <t>MOZ</t>
  </si>
  <si>
    <t>MMR</t>
  </si>
  <si>
    <t>NAM</t>
  </si>
  <si>
    <t>NRU</t>
  </si>
  <si>
    <t>NPL</t>
  </si>
  <si>
    <t>NLD</t>
  </si>
  <si>
    <t>NCL</t>
  </si>
  <si>
    <t>NZL</t>
  </si>
  <si>
    <t>NIC</t>
  </si>
  <si>
    <t>NER</t>
  </si>
  <si>
    <t>NGA</t>
  </si>
  <si>
    <t>NIU</t>
  </si>
  <si>
    <t>NFK</t>
  </si>
  <si>
    <t>MNP</t>
  </si>
  <si>
    <t>NOR</t>
  </si>
  <si>
    <t>OMN</t>
  </si>
  <si>
    <t>PAK</t>
  </si>
  <si>
    <t>PLW</t>
  </si>
  <si>
    <t>PAN</t>
  </si>
  <si>
    <t>PNG</t>
  </si>
  <si>
    <t>PRY</t>
  </si>
  <si>
    <t>PER</t>
  </si>
  <si>
    <t>PHL</t>
  </si>
  <si>
    <t>PCN</t>
  </si>
  <si>
    <t>POL</t>
  </si>
  <si>
    <t>PRT</t>
  </si>
  <si>
    <t>PRI</t>
  </si>
  <si>
    <t>QAT</t>
  </si>
  <si>
    <t>KOR</t>
  </si>
  <si>
    <t>MDA</t>
  </si>
  <si>
    <t>REU</t>
  </si>
  <si>
    <t>ROU</t>
  </si>
  <si>
    <t>RUS</t>
  </si>
  <si>
    <t>RWA</t>
  </si>
  <si>
    <t>BLM</t>
  </si>
  <si>
    <t>SHN</t>
  </si>
  <si>
    <t>KNA</t>
  </si>
  <si>
    <t>LCA</t>
  </si>
  <si>
    <t>MAF</t>
  </si>
  <si>
    <t>SPM</t>
  </si>
  <si>
    <t>VCT</t>
  </si>
  <si>
    <t>WSM</t>
  </si>
  <si>
    <t>SMR</t>
  </si>
  <si>
    <t>STP</t>
  </si>
  <si>
    <t>Sark</t>
  </si>
  <si>
    <t>SAU</t>
  </si>
  <si>
    <t>SEN</t>
  </si>
  <si>
    <t>SRB</t>
  </si>
  <si>
    <t>SYC</t>
  </si>
  <si>
    <t>SLE</t>
  </si>
  <si>
    <t>SGP</t>
  </si>
  <si>
    <t>SXM</t>
  </si>
  <si>
    <t>SVK</t>
  </si>
  <si>
    <t>SVN</t>
  </si>
  <si>
    <t>SLB</t>
  </si>
  <si>
    <t>SOM</t>
  </si>
  <si>
    <t>ZAF</t>
  </si>
  <si>
    <t>SGS</t>
  </si>
  <si>
    <t>SSD</t>
  </si>
  <si>
    <t>ESP</t>
  </si>
  <si>
    <t>LKA</t>
  </si>
  <si>
    <t>PSE</t>
  </si>
  <si>
    <t>SDN</t>
  </si>
  <si>
    <t>SUR</t>
  </si>
  <si>
    <t>SJM</t>
  </si>
  <si>
    <t>SWE</t>
  </si>
  <si>
    <t>CHE</t>
  </si>
  <si>
    <t>SYR</t>
  </si>
  <si>
    <t>TJK</t>
  </si>
  <si>
    <t>THA</t>
  </si>
  <si>
    <t>MKD</t>
  </si>
  <si>
    <t>TLS</t>
  </si>
  <si>
    <t>TGO</t>
  </si>
  <si>
    <t>TKL</t>
  </si>
  <si>
    <t>TON</t>
  </si>
  <si>
    <t>TTO</t>
  </si>
  <si>
    <t>TUN</t>
  </si>
  <si>
    <t>TUR</t>
  </si>
  <si>
    <t>TKM</t>
  </si>
  <si>
    <t>TCA</t>
  </si>
  <si>
    <t>TUV</t>
  </si>
  <si>
    <t>UGA</t>
  </si>
  <si>
    <t>UKR</t>
  </si>
  <si>
    <t>ARE</t>
  </si>
  <si>
    <t>GBR</t>
  </si>
  <si>
    <t>TZA</t>
  </si>
  <si>
    <t>UMI</t>
  </si>
  <si>
    <t>VIR</t>
  </si>
  <si>
    <t>URY</t>
  </si>
  <si>
    <t>UZB</t>
  </si>
  <si>
    <t>VUT</t>
  </si>
  <si>
    <t>VEN</t>
  </si>
  <si>
    <t>VNM</t>
  </si>
  <si>
    <t>WLF</t>
  </si>
  <si>
    <t>ESH</t>
  </si>
  <si>
    <t>YEM</t>
  </si>
  <si>
    <t>ZMB</t>
  </si>
  <si>
    <t>ZWE</t>
  </si>
  <si>
    <t>AFG: Afghanistan</t>
  </si>
  <si>
    <t>ALA: Aland Islands</t>
  </si>
  <si>
    <t>ALB: Albania</t>
  </si>
  <si>
    <t>DZA: Algeria</t>
  </si>
  <si>
    <t>ASM: American Samoa</t>
  </si>
  <si>
    <t>AND: Andorra</t>
  </si>
  <si>
    <t>AGO: Angola</t>
  </si>
  <si>
    <t>AIA: Anguilla</t>
  </si>
  <si>
    <t>ATA: Antarctica</t>
  </si>
  <si>
    <t>ATG: Antigua and Barbuda</t>
  </si>
  <si>
    <t>ARG: Argentina</t>
  </si>
  <si>
    <t>ARM: Armenia</t>
  </si>
  <si>
    <t>ABW: Aruba</t>
  </si>
  <si>
    <t>AUS: Australia</t>
  </si>
  <si>
    <t>AUT: Austria</t>
  </si>
  <si>
    <t>AZE: Azerbaijan</t>
  </si>
  <si>
    <t>BHS:Bahamas</t>
  </si>
  <si>
    <t>BHR: Bahrain</t>
  </si>
  <si>
    <t>BGD: Bangladesh</t>
  </si>
  <si>
    <t>BRB: Barbados</t>
  </si>
  <si>
    <t>BLR: Belarus</t>
  </si>
  <si>
    <t>BEL: Belgium</t>
  </si>
  <si>
    <t>BLZ: Belize</t>
  </si>
  <si>
    <t>BEN: Benin</t>
  </si>
  <si>
    <t>BMU: Bermuda</t>
  </si>
  <si>
    <t>BTN: Bhutan</t>
  </si>
  <si>
    <t>BOL: Bolivia (Plurinational State of)</t>
  </si>
  <si>
    <t>BES: Bonaire, Sint Eustatius and Saba</t>
  </si>
  <si>
    <t>BIH: Bosnia and Herzegovina</t>
  </si>
  <si>
    <t>BWA: Botswana</t>
  </si>
  <si>
    <t>BVT: Bouvet Island</t>
  </si>
  <si>
    <t>BRA: Brazil</t>
  </si>
  <si>
    <t>IOT: British Indian Ocean Territory</t>
  </si>
  <si>
    <t>VGB: British Virgin Islands</t>
  </si>
  <si>
    <t>BRN: Brunei Darussalam</t>
  </si>
  <si>
    <t>BGR: Bulgaria</t>
  </si>
  <si>
    <t>BFA: Burkina Faso</t>
  </si>
  <si>
    <t>BDI: Burundi</t>
  </si>
  <si>
    <t>CPV: Cabo Verde</t>
  </si>
  <si>
    <t>KHM: Cambodia</t>
  </si>
  <si>
    <t>CMR: Cameroon</t>
  </si>
  <si>
    <t>CAN: Canada</t>
  </si>
  <si>
    <t>CYM: Cayman Islands</t>
  </si>
  <si>
    <t>CAF: Central African Republic</t>
  </si>
  <si>
    <t>TCD: Chad</t>
  </si>
  <si>
    <t>CHL: Chile</t>
  </si>
  <si>
    <t>CHN: China</t>
  </si>
  <si>
    <t>HKG: China, Hong Kong Special Administrative Region</t>
  </si>
  <si>
    <t>MAC: China, Macao Special Administrative Region</t>
  </si>
  <si>
    <t>CXR: Christmas Island</t>
  </si>
  <si>
    <t>CCK: Cocos (Keeling) Islands</t>
  </si>
  <si>
    <t>COL: Colombia</t>
  </si>
  <si>
    <t>COM: Comoros</t>
  </si>
  <si>
    <t>COG: Congo</t>
  </si>
  <si>
    <t>COK: Cook Islands</t>
  </si>
  <si>
    <t>CRI: Costa Rica</t>
  </si>
  <si>
    <t>CIV: Côte d'Ivoire</t>
  </si>
  <si>
    <t>HRV: Croatia</t>
  </si>
  <si>
    <t>CUB: Cuba</t>
  </si>
  <si>
    <t>CUW: Curaçao</t>
  </si>
  <si>
    <t>CYP: Cyprus</t>
  </si>
  <si>
    <t>CZE: Czechia</t>
  </si>
  <si>
    <t>PRK: Democratic People's Republic of Korea</t>
  </si>
  <si>
    <t>COD: Democratic Republic of the Congo</t>
  </si>
  <si>
    <t>DNK: Denmark</t>
  </si>
  <si>
    <t>DJI: Djibouti</t>
  </si>
  <si>
    <t>DMA: Dominica</t>
  </si>
  <si>
    <t>DOM: Dominican Republic</t>
  </si>
  <si>
    <t>ECU: Ecuador</t>
  </si>
  <si>
    <t>EGY: Egypt</t>
  </si>
  <si>
    <t>SLV: El Salvador</t>
  </si>
  <si>
    <t>GNQ: Equatorial Guinea</t>
  </si>
  <si>
    <t>ERI: Eritrea</t>
  </si>
  <si>
    <t>EST: Estonia</t>
  </si>
  <si>
    <t>SWZ: Eswatini</t>
  </si>
  <si>
    <t>ETH: Ethiopia</t>
  </si>
  <si>
    <t>FLK: Falkland Islands (Malvinas)</t>
  </si>
  <si>
    <t>FRO: Faroe Islands</t>
  </si>
  <si>
    <t>FJI: Fiji</t>
  </si>
  <si>
    <t>FIN: Finland</t>
  </si>
  <si>
    <t>FRA: France</t>
  </si>
  <si>
    <t>GUF: French Guiana</t>
  </si>
  <si>
    <t>PYF: French Polynesia</t>
  </si>
  <si>
    <t>ATF: French Southern Territories</t>
  </si>
  <si>
    <t>GAB: Gabon</t>
  </si>
  <si>
    <t>GMB: Gambia</t>
  </si>
  <si>
    <t>GEO: Georgia</t>
  </si>
  <si>
    <t>DEU: Germany</t>
  </si>
  <si>
    <t>GHA: Ghana</t>
  </si>
  <si>
    <t>GIB: Gibraltar</t>
  </si>
  <si>
    <t>GRC: Greece</t>
  </si>
  <si>
    <t>GRL: Greenland</t>
  </si>
  <si>
    <t>GRD: Grenada</t>
  </si>
  <si>
    <t>GLP: Guadeloupe</t>
  </si>
  <si>
    <t>GUM: Guam</t>
  </si>
  <si>
    <t>GTM: Guatemala</t>
  </si>
  <si>
    <t>GGY: Guernsey</t>
  </si>
  <si>
    <t>GIN: Guinea</t>
  </si>
  <si>
    <t>GNB: Guinea-Bissau</t>
  </si>
  <si>
    <t>GUY: Guyana</t>
  </si>
  <si>
    <t>HTI: Haiti</t>
  </si>
  <si>
    <t>HMD: Heard Island and McDonald Islands</t>
  </si>
  <si>
    <t>VAT: Holy See</t>
  </si>
  <si>
    <t>HND: Honduras</t>
  </si>
  <si>
    <t>HUN: Hungary</t>
  </si>
  <si>
    <t>ISL: Iceland</t>
  </si>
  <si>
    <t>IND: India</t>
  </si>
  <si>
    <t>IND: Indonesia</t>
  </si>
  <si>
    <t>IRN: Iran (Islamic Republic of)</t>
  </si>
  <si>
    <t>IRQ: Iraq</t>
  </si>
  <si>
    <t>IRL: Ireland</t>
  </si>
  <si>
    <t>IMN: Isle of Man</t>
  </si>
  <si>
    <t>ISR: Israel</t>
  </si>
  <si>
    <t>ITA: Italy</t>
  </si>
  <si>
    <t>JAM: Jamaica</t>
  </si>
  <si>
    <t>JPN: Japan</t>
  </si>
  <si>
    <t>JEY: Jersey</t>
  </si>
  <si>
    <t>JOR: Jordan</t>
  </si>
  <si>
    <t>KAZ: Kazakhstan</t>
  </si>
  <si>
    <t>KEN: Kenya</t>
  </si>
  <si>
    <t>KIR: Kiribati</t>
  </si>
  <si>
    <t>KWT: Kuwait</t>
  </si>
  <si>
    <t>KGZ: Kyrgyzstan</t>
  </si>
  <si>
    <t>LAO: Lao People's Democratic Republic</t>
  </si>
  <si>
    <t>LVA: Latvia</t>
  </si>
  <si>
    <t>LBN: Lebanon</t>
  </si>
  <si>
    <t>LSO: Lesotho</t>
  </si>
  <si>
    <t>LBR: Liberia</t>
  </si>
  <si>
    <t>LBY: Libya</t>
  </si>
  <si>
    <t>LIE: Liechtenstein</t>
  </si>
  <si>
    <t>LTU: Lithuania</t>
  </si>
  <si>
    <t>LUX: Luxembourg</t>
  </si>
  <si>
    <t>MDG: Madagascar</t>
  </si>
  <si>
    <t>MWI: Malawi</t>
  </si>
  <si>
    <t>MYS: Malaysia</t>
  </si>
  <si>
    <t>MDV: Maldives</t>
  </si>
  <si>
    <t>MLI: Mali</t>
  </si>
  <si>
    <t>MLT: Malta</t>
  </si>
  <si>
    <t>MHL: Marshall Islands</t>
  </si>
  <si>
    <t>MTQ: Martinique</t>
  </si>
  <si>
    <t>MRT: Mauritania</t>
  </si>
  <si>
    <t>MUS: Mauritius</t>
  </si>
  <si>
    <t>MYT: Mayotte</t>
  </si>
  <si>
    <t>MEX: Mexico</t>
  </si>
  <si>
    <t>FAM: Micronesia (Federated States of)</t>
  </si>
  <si>
    <t>MCO: Monaco</t>
  </si>
  <si>
    <t>MNG: Mongolia</t>
  </si>
  <si>
    <t>MNE: Montenegro</t>
  </si>
  <si>
    <t>MSR: Montserrat</t>
  </si>
  <si>
    <t>MAR: Morocco</t>
  </si>
  <si>
    <t>MOZ: Mozambique</t>
  </si>
  <si>
    <t>MMR: Myanmar</t>
  </si>
  <si>
    <t>NAM: Namibia</t>
  </si>
  <si>
    <t>NRU: Nauru</t>
  </si>
  <si>
    <t>NPL: Nepal</t>
  </si>
  <si>
    <t>NLD: Netherlands</t>
  </si>
  <si>
    <t>NCL: New Caledonia</t>
  </si>
  <si>
    <t>NZL: New Zealand</t>
  </si>
  <si>
    <t>NIC: Nicaragua</t>
  </si>
  <si>
    <t>NER: Niger</t>
  </si>
  <si>
    <t>NGA: Nigeria</t>
  </si>
  <si>
    <t>NIU: Niue</t>
  </si>
  <si>
    <t>NFK: Norfolk Island</t>
  </si>
  <si>
    <t>MNP: Northern Mariana Islands</t>
  </si>
  <si>
    <t>NOR: Norway</t>
  </si>
  <si>
    <t>OMN: Oman</t>
  </si>
  <si>
    <t>PAK: Pakistan</t>
  </si>
  <si>
    <t>PLW: Palau</t>
  </si>
  <si>
    <t>PAN: Panama</t>
  </si>
  <si>
    <t>PNG: Papua New Guinea</t>
  </si>
  <si>
    <t>PRY: Paraguay</t>
  </si>
  <si>
    <t>PER: Peru</t>
  </si>
  <si>
    <t>PHL: Philippines</t>
  </si>
  <si>
    <t>PCN: Pitcairn</t>
  </si>
  <si>
    <t>POL: Poland</t>
  </si>
  <si>
    <t>PRT: Portugal</t>
  </si>
  <si>
    <t>PRI: Puerto Rico</t>
  </si>
  <si>
    <t>QAT: Qatar</t>
  </si>
  <si>
    <t>KOR: Republic of Korea</t>
  </si>
  <si>
    <t>MDA: Republic of Moldova</t>
  </si>
  <si>
    <t>REU: Réunion</t>
  </si>
  <si>
    <t>ROU: Romania</t>
  </si>
  <si>
    <t>RUS: Russian Federation</t>
  </si>
  <si>
    <t>RWA: Rwanda</t>
  </si>
  <si>
    <t>BLM: Saint Barthélemy</t>
  </si>
  <si>
    <t>SHN: Saint Helena</t>
  </si>
  <si>
    <t>KNA: Saint Kitts and Nevis</t>
  </si>
  <si>
    <t>LCA: Saint Lucia</t>
  </si>
  <si>
    <t>MAF: Saint Martin (French Part)</t>
  </si>
  <si>
    <t>SPM: Saint Pierre and Miquelon</t>
  </si>
  <si>
    <t>VCT: Saint Vincent and the Grenadines</t>
  </si>
  <si>
    <t>WSM: Samoa</t>
  </si>
  <si>
    <t>SMR: San Marino</t>
  </si>
  <si>
    <t>STP: Sao Tome and Principe</t>
  </si>
  <si>
    <t>SAU: Saudi Arabia</t>
  </si>
  <si>
    <t>SEN: Senegal</t>
  </si>
  <si>
    <t>SRB: Serbia</t>
  </si>
  <si>
    <t>SYC: Seychelles</t>
  </si>
  <si>
    <t>SLE: Sierra Leone</t>
  </si>
  <si>
    <t>SGP: Singapore</t>
  </si>
  <si>
    <t>SXM: Sint Maarten (Dutch part)</t>
  </si>
  <si>
    <t>SVK: Slovakia</t>
  </si>
  <si>
    <t>SVN: Slovenia</t>
  </si>
  <si>
    <t>SLB: Solomon Islands</t>
  </si>
  <si>
    <t>SOM: Somalia</t>
  </si>
  <si>
    <t>ZAF: South Africa</t>
  </si>
  <si>
    <t>SGS: South Georgia and the South Sandwich Islands</t>
  </si>
  <si>
    <t>SSD: South Sudan</t>
  </si>
  <si>
    <t>ESP: Spain</t>
  </si>
  <si>
    <t>LKA: Sri Lanka</t>
  </si>
  <si>
    <t>PSE: State of Palestine</t>
  </si>
  <si>
    <t>SDN: Sudan</t>
  </si>
  <si>
    <t>SUR: Suriname</t>
  </si>
  <si>
    <t>SJM: Svalbard and Jan Mayen Islands</t>
  </si>
  <si>
    <t>SWE: Sweden</t>
  </si>
  <si>
    <t>CHE: Switzerland</t>
  </si>
  <si>
    <t>SYR: Syrian Arab Republic</t>
  </si>
  <si>
    <t>TJK: Tajikistan</t>
  </si>
  <si>
    <t>THA: Thailand</t>
  </si>
  <si>
    <t>MKD: The former Yugoslav Republic of Macedonia</t>
  </si>
  <si>
    <t>TLS: Timor-Leste</t>
  </si>
  <si>
    <t>TGO: Togo</t>
  </si>
  <si>
    <t>TKL: Tokelau</t>
  </si>
  <si>
    <t>TON: Tonga</t>
  </si>
  <si>
    <t>TTO: Trinidad and Tobago</t>
  </si>
  <si>
    <t>TUN: Tunisia</t>
  </si>
  <si>
    <t>TUR: Turkey</t>
  </si>
  <si>
    <t>TKM: Turkmenistan</t>
  </si>
  <si>
    <t>TCA: Turks and Caicos Islands</t>
  </si>
  <si>
    <t>TUV: Tuvalu</t>
  </si>
  <si>
    <t>UGA: Uganda</t>
  </si>
  <si>
    <t>UKR: Ukraine</t>
  </si>
  <si>
    <t>ARE: United Arab Emirates</t>
  </si>
  <si>
    <t>GBR: United Kingdom of Great Britain and Northern Ireland</t>
  </si>
  <si>
    <t>TZA: United Republic of Tanzania</t>
  </si>
  <si>
    <t>UMI: United States Minor Outlying Islands</t>
  </si>
  <si>
    <t>USA: United States of America</t>
  </si>
  <si>
    <t>VIR: United States Virgin Islands</t>
  </si>
  <si>
    <t>URY: Uruguay</t>
  </si>
  <si>
    <t>UZB: Uzbekistan</t>
  </si>
  <si>
    <t>BUT: Vanuatu</t>
  </si>
  <si>
    <t>VEN: Venezuela (Bolivarian Republic of)</t>
  </si>
  <si>
    <t>VNM: Viet Nam</t>
  </si>
  <si>
    <t>WLF: Wallis and Futuna Islands</t>
  </si>
  <si>
    <t>ESH: Western Sahara</t>
  </si>
  <si>
    <t>YEM: Yemen</t>
  </si>
  <si>
    <t>ZMB: Zambia</t>
  </si>
  <si>
    <t>ZWE: Zimbabwe</t>
  </si>
  <si>
    <t>Candidate Information and Goals for Career Development</t>
  </si>
  <si>
    <t>Training in the Responsible Conduct of Research</t>
  </si>
  <si>
    <t>Candidates Plan to Provide Mentoring</t>
  </si>
  <si>
    <t>Plans and Statements of Mentor and Co-Mentor(s)</t>
  </si>
  <si>
    <t>Description of Institutional Environment</t>
  </si>
  <si>
    <t>Institutional Commitment to Candidate's Research Career Development</t>
  </si>
  <si>
    <t>Current &amp; Pending (mentors &amp; co-mentors only)</t>
  </si>
  <si>
    <t xml:space="preserve">Human Subjects &amp; Clinical Trials Form </t>
  </si>
  <si>
    <t xml:space="preserve">PI Name: </t>
  </si>
  <si>
    <t xml:space="preserve">Title:  </t>
  </si>
  <si>
    <t>Inflation Rate</t>
  </si>
  <si>
    <t xml:space="preserve">Dates:   </t>
  </si>
  <si>
    <t>NIH salary cap</t>
  </si>
  <si>
    <t xml:space="preserve">Sponsor:    </t>
  </si>
  <si>
    <t xml:space="preserve">PS Grants:  </t>
  </si>
  <si>
    <t>Year 1</t>
  </si>
  <si>
    <t>Year 2</t>
  </si>
  <si>
    <t>Year 3</t>
  </si>
  <si>
    <t>Year 4</t>
  </si>
  <si>
    <t>Year 5</t>
  </si>
  <si>
    <t>YEAR 1 BASE SALARY (ANNUALIZED)</t>
  </si>
  <si>
    <t>PERSONNEL</t>
  </si>
  <si>
    <t>Annualized Effort</t>
  </si>
  <si>
    <t>COST-SHARED EFFORT (Including salary &gt; NIH Cap)</t>
  </si>
  <si>
    <t>PM</t>
  </si>
  <si>
    <t>YR2</t>
  </si>
  <si>
    <t>YR3</t>
  </si>
  <si>
    <t>YR4</t>
  </si>
  <si>
    <t>YR5</t>
  </si>
  <si>
    <t>Faculty/Professional</t>
  </si>
  <si>
    <t xml:space="preserve">   Effort</t>
  </si>
  <si>
    <t xml:space="preserve">   % effort</t>
  </si>
  <si>
    <t xml:space="preserve">   40.6% fringe benefits</t>
  </si>
  <si>
    <t xml:space="preserve">   summer ninths</t>
  </si>
  <si>
    <t>Total Annuallized Academic Effort</t>
  </si>
  <si>
    <t>Total Annualized Summer Effort</t>
  </si>
  <si>
    <t>Total Annual Effort</t>
  </si>
  <si>
    <t xml:space="preserve">   summer ninths </t>
  </si>
  <si>
    <t>Misc Wage</t>
  </si>
  <si>
    <t xml:space="preserve">Current rates: </t>
  </si>
  <si>
    <t xml:space="preserve">    7.1% fringe benefits</t>
  </si>
  <si>
    <t>https://grants.nih.gov/grants/guide/notice-files/NOT-OD-18-175.html</t>
  </si>
  <si>
    <t xml:space="preserve">Graduate student(s) </t>
  </si>
  <si>
    <t>(Insert YR1 base 9-month grad amount)</t>
  </si>
  <si>
    <t xml:space="preserve">    11.9% fringe benefits</t>
  </si>
  <si>
    <t># of Months (i.e. 9 academic, 3 summer)</t>
  </si>
  <si>
    <t>$21,000 as of 9/1/18</t>
  </si>
  <si>
    <t># of Grad Students (Yr1)</t>
  </si>
  <si>
    <t># of Grad Students (Yr2)</t>
  </si>
  <si>
    <t># of Grad Students (Yr3)</t>
  </si>
  <si>
    <t>SUBTOTAL PERSONNEL</t>
  </si>
  <si>
    <t># of Grad Students (Yr4)</t>
  </si>
  <si>
    <t># of Grad Students (Yr5)</t>
  </si>
  <si>
    <t>CONSULTANTS</t>
  </si>
  <si>
    <t>SUBTOTAL CONSULTANTS</t>
  </si>
  <si>
    <t>TRAVEL</t>
  </si>
  <si>
    <t>Conference travel</t>
  </si>
  <si>
    <t>SUBTOTAL TRAVEL</t>
  </si>
  <si>
    <t>SUPPLIES and EXPENSE</t>
  </si>
  <si>
    <t>&lt;         &gt;</t>
  </si>
  <si>
    <t>Participant Compensation</t>
  </si>
  <si>
    <t>Vendor/Fee for service</t>
  </si>
  <si>
    <t>Publication Costs</t>
  </si>
  <si>
    <t>Misc supplies</t>
  </si>
  <si>
    <t>Equipment &lt;$5,000</t>
  </si>
  <si>
    <t>Participant Support (F&amp;A n/a)</t>
  </si>
  <si>
    <t>Equipment &gt;$5,000 (F&amp;A n/a)</t>
  </si>
  <si>
    <t>SUBTOTAL SUPPLIES and EXPENSE</t>
  </si>
  <si>
    <t>TUITION</t>
  </si>
  <si>
    <t>2019-2020 nonresident tuition:</t>
  </si>
  <si>
    <t>SUBCONTRACTS</t>
  </si>
  <si>
    <t>Institution Name</t>
  </si>
  <si>
    <t>total amount</t>
  </si>
  <si>
    <t>direct cost</t>
  </si>
  <si>
    <t>idc amount</t>
  </si>
  <si>
    <t>Subcontract subject to IDC</t>
  </si>
  <si>
    <t>SUBTOTAL SUBCONTRACTS</t>
  </si>
  <si>
    <t>TOTAL DIRECT COSTS</t>
  </si>
  <si>
    <t>TOTAL DIRECT COSTS LESS SUB IDC</t>
  </si>
  <si>
    <t>TOTAL DIRECT COSTS SUBJECT TO IDC</t>
  </si>
  <si>
    <t>INDIRECT COSTS (7/1/19)</t>
  </si>
  <si>
    <t>INDIRECT COSTS (7/1/20)</t>
  </si>
  <si>
    <t>TOTAL SPONSOR REQUEST</t>
  </si>
  <si>
    <t>Fringe Benefits (valid 7/1/19 - 6/30/20)</t>
  </si>
  <si>
    <t>Faculty and Professional Fringe Rate:</t>
  </si>
  <si>
    <t>Salaried Staff Fringe Rate:</t>
  </si>
  <si>
    <t>Graduate Student Fringe Rate:</t>
  </si>
  <si>
    <t>Supp Professional/Misc. Wage/FICA:</t>
  </si>
  <si>
    <t>3 business days prior to Sponsor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</si>
</sst>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_);_(&quot;$&quot;* \(#,##0\);_(&quot;$&quot;* &quot;-&quot;??_);_(@_)"/>
    <numFmt numFmtId="166" formatCode="&quot;$&quot;#,##0"/>
    <numFmt numFmtId="167" formatCode="_(* #,##0_);_(* \(#,##0\);_(* &quot;-&quot;??_);_(@_)"/>
    <numFmt numFmtId="168" formatCode="_(* #,##0.0000_);_(* \(#,##0.0000\);_(* &quot;-&quot;??_);_(@_)"/>
    <numFmt numFmtId="169" formatCode="&quot;$&quot;#,##0.00"/>
  </numFmts>
  <fonts count="3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u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8"/>
      <color theme="1"/>
      <name val="Arial"/>
      <family val="2"/>
    </font>
    <font>
      <sz val="9"/>
      <color rgb="FF333333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10"/>
      <color theme="9" tint="-0.24997711111789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41">
    <xf numFmtId="0" fontId="0" fillId="0" borderId="0" xfId="0"/>
    <xf numFmtId="0" fontId="2" fillId="0" borderId="2" xfId="2"/>
    <xf numFmtId="0" fontId="3" fillId="0" borderId="3" xfId="3" applyAlignment="1">
      <alignment vertical="center"/>
    </xf>
    <xf numFmtId="0" fontId="3" fillId="0" borderId="3" xfId="3"/>
    <xf numFmtId="0" fontId="3" fillId="0" borderId="3" xfId="3" applyAlignment="1">
      <alignment horizontal="right"/>
    </xf>
    <xf numFmtId="0" fontId="3" fillId="0" borderId="3" xfId="3" applyAlignment="1">
      <alignment vertical="center" wrapText="1"/>
    </xf>
    <xf numFmtId="0" fontId="3" fillId="0" borderId="3" xfId="3" applyAlignment="1">
      <alignment wrapText="1"/>
    </xf>
    <xf numFmtId="14" fontId="0" fillId="0" borderId="0" xfId="0" applyNumberFormat="1"/>
    <xf numFmtId="0" fontId="3" fillId="3" borderId="3" xfId="3" applyFill="1" applyAlignment="1">
      <alignment vertical="center"/>
    </xf>
    <xf numFmtId="14" fontId="3" fillId="3" borderId="3" xfId="3" applyNumberFormat="1" applyFill="1" applyAlignment="1">
      <alignment horizontal="center" vertical="center"/>
    </xf>
    <xf numFmtId="0" fontId="3" fillId="3" borderId="3" xfId="3" applyFill="1" applyAlignment="1">
      <alignment horizontal="left" vertical="center" wrapText="1"/>
    </xf>
    <xf numFmtId="0" fontId="1" fillId="0" borderId="1" xfId="1" applyAlignment="1">
      <alignment horizontal="center" vertical="center" wrapText="1"/>
    </xf>
    <xf numFmtId="14" fontId="3" fillId="0" borderId="3" xfId="3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3" fillId="2" borderId="3" xfId="3" applyNumberFormat="1" applyFont="1" applyFill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4" xfId="4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14" fontId="0" fillId="5" borderId="0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4" borderId="8" xfId="0" applyFill="1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4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/>
    </xf>
    <xf numFmtId="14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5" fillId="4" borderId="0" xfId="4" applyFill="1" applyBorder="1" applyAlignment="1">
      <alignment vertical="center"/>
    </xf>
    <xf numFmtId="0" fontId="5" fillId="4" borderId="4" xfId="4" applyFill="1" applyBorder="1" applyAlignment="1">
      <alignment horizontal="center" vertical="center" wrapText="1"/>
    </xf>
    <xf numFmtId="0" fontId="0" fillId="0" borderId="10" xfId="0" applyBorder="1"/>
    <xf numFmtId="0" fontId="2" fillId="0" borderId="11" xfId="2" applyBorder="1"/>
    <xf numFmtId="0" fontId="2" fillId="0" borderId="12" xfId="2" applyBorder="1"/>
    <xf numFmtId="0" fontId="2" fillId="0" borderId="12" xfId="2" applyBorder="1" applyAlignment="1">
      <alignment horizontal="center"/>
    </xf>
    <xf numFmtId="0" fontId="2" fillId="0" borderId="13" xfId="2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6" borderId="0" xfId="0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14" fontId="0" fillId="6" borderId="0" xfId="0" applyNumberForma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8" fillId="6" borderId="0" xfId="4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3" fillId="7" borderId="0" xfId="0" applyFont="1" applyFill="1" applyAlignment="1">
      <alignment vertical="center" wrapText="1"/>
    </xf>
    <xf numFmtId="0" fontId="13" fillId="7" borderId="0" xfId="0" applyFont="1" applyFill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5" fillId="6" borderId="4" xfId="4" applyFill="1" applyBorder="1" applyAlignment="1">
      <alignment horizontal="center" vertical="center" wrapText="1"/>
    </xf>
    <xf numFmtId="0" fontId="15" fillId="2" borderId="0" xfId="0" applyFont="1" applyFill="1"/>
    <xf numFmtId="164" fontId="16" fillId="0" borderId="0" xfId="0" applyNumberFormat="1" applyFont="1"/>
    <xf numFmtId="164" fontId="16" fillId="0" borderId="0" xfId="0" applyNumberFormat="1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Fill="1"/>
    <xf numFmtId="164" fontId="17" fillId="0" borderId="0" xfId="0" quotePrefix="1" applyNumberFormat="1" applyFont="1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Protection="1">
      <protection locked="0"/>
    </xf>
    <xf numFmtId="0" fontId="18" fillId="0" borderId="0" xfId="0" applyFont="1" applyFill="1" applyAlignment="1">
      <alignment horizontal="right"/>
    </xf>
    <xf numFmtId="165" fontId="19" fillId="0" borderId="0" xfId="7" applyNumberFormat="1" applyFont="1" applyFill="1"/>
    <xf numFmtId="0" fontId="15" fillId="0" borderId="0" xfId="0" applyFont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14" fontId="20" fillId="0" borderId="0" xfId="0" applyNumberFormat="1" applyFont="1" applyFill="1" applyAlignment="1" applyProtection="1">
      <alignment horizontal="right" wrapText="1"/>
      <protection locked="0"/>
    </xf>
    <xf numFmtId="0" fontId="16" fillId="0" borderId="0" xfId="0" applyFont="1" applyFill="1" applyAlignment="1">
      <alignment horizontal="right" wrapText="1"/>
    </xf>
    <xf numFmtId="14" fontId="20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wrapText="1"/>
    </xf>
    <xf numFmtId="0" fontId="21" fillId="0" borderId="0" xfId="0" applyFont="1"/>
    <xf numFmtId="164" fontId="22" fillId="0" borderId="0" xfId="0" applyNumberFormat="1" applyFont="1" applyAlignment="1">
      <alignment horizontal="center"/>
    </xf>
    <xf numFmtId="10" fontId="22" fillId="0" borderId="0" xfId="0" applyNumberFormat="1" applyFont="1" applyFill="1" applyAlignment="1">
      <alignment horizontal="center" wrapText="1"/>
    </xf>
    <xf numFmtId="14" fontId="16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21" fillId="0" borderId="14" xfId="0" applyFont="1" applyBorder="1"/>
    <xf numFmtId="0" fontId="20" fillId="0" borderId="15" xfId="0" applyFont="1" applyBorder="1"/>
    <xf numFmtId="0" fontId="16" fillId="0" borderId="15" xfId="0" applyFont="1" applyBorder="1"/>
    <xf numFmtId="0" fontId="16" fillId="0" borderId="16" xfId="0" applyFont="1" applyBorder="1"/>
    <xf numFmtId="10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/>
    <xf numFmtId="0" fontId="25" fillId="0" borderId="17" xfId="0" applyFont="1" applyBorder="1"/>
    <xf numFmtId="0" fontId="16" fillId="0" borderId="0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26" fillId="0" borderId="0" xfId="0" applyFont="1" applyBorder="1"/>
    <xf numFmtId="0" fontId="16" fillId="0" borderId="18" xfId="0" applyFont="1" applyBorder="1"/>
    <xf numFmtId="0" fontId="20" fillId="2" borderId="0" xfId="0" applyFont="1" applyFill="1"/>
    <xf numFmtId="10" fontId="16" fillId="0" borderId="0" xfId="0" applyNumberFormat="1" applyFont="1"/>
    <xf numFmtId="10" fontId="16" fillId="0" borderId="0" xfId="0" applyNumberFormat="1" applyFont="1" applyFill="1"/>
    <xf numFmtId="41" fontId="16" fillId="4" borderId="0" xfId="0" applyNumberFormat="1" applyFont="1" applyFill="1"/>
    <xf numFmtId="41" fontId="16" fillId="4" borderId="0" xfId="0" applyNumberFormat="1" applyFont="1" applyFill="1" applyAlignment="1" applyProtection="1">
      <alignment horizontal="center"/>
      <protection locked="0"/>
    </xf>
    <xf numFmtId="42" fontId="16" fillId="4" borderId="19" xfId="0" applyNumberFormat="1" applyFont="1" applyFill="1" applyBorder="1"/>
    <xf numFmtId="166" fontId="16" fillId="0" borderId="0" xfId="0" applyNumberFormat="1" applyFont="1" applyFill="1" applyBorder="1" applyProtection="1">
      <protection locked="0"/>
    </xf>
    <xf numFmtId="0" fontId="15" fillId="0" borderId="17" xfId="0" applyFont="1" applyFill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2" fontId="16" fillId="0" borderId="20" xfId="0" applyNumberFormat="1" applyFont="1" applyFill="1" applyBorder="1"/>
    <xf numFmtId="10" fontId="16" fillId="2" borderId="0" xfId="8" applyNumberFormat="1" applyFont="1" applyFill="1" applyBorder="1" applyProtection="1">
      <protection locked="0"/>
    </xf>
    <xf numFmtId="41" fontId="16" fillId="0" borderId="0" xfId="0" applyNumberFormat="1" applyFont="1" applyFill="1"/>
    <xf numFmtId="10" fontId="27" fillId="0" borderId="0" xfId="8" applyNumberFormat="1" applyFont="1" applyFill="1" applyAlignment="1" applyProtection="1">
      <alignment horizontal="center"/>
      <protection locked="0"/>
    </xf>
    <xf numFmtId="0" fontId="16" fillId="0" borderId="0" xfId="0" applyFont="1" applyFill="1" applyProtection="1">
      <protection locked="0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43" fontId="16" fillId="0" borderId="20" xfId="6" applyFont="1" applyFill="1" applyBorder="1"/>
    <xf numFmtId="10" fontId="16" fillId="0" borderId="0" xfId="0" applyNumberFormat="1" applyFont="1" applyFill="1" applyBorder="1" applyProtection="1">
      <protection locked="0"/>
    </xf>
    <xf numFmtId="167" fontId="16" fillId="0" borderId="0" xfId="0" applyNumberFormat="1" applyFont="1" applyBorder="1"/>
    <xf numFmtId="167" fontId="16" fillId="0" borderId="18" xfId="0" applyNumberFormat="1" applyFont="1" applyBorder="1"/>
    <xf numFmtId="0" fontId="20" fillId="0" borderId="0" xfId="0" applyFont="1"/>
    <xf numFmtId="10" fontId="16" fillId="0" borderId="0" xfId="0" applyNumberFormat="1" applyFont="1" applyFill="1" applyProtection="1">
      <protection locked="0"/>
    </xf>
    <xf numFmtId="41" fontId="27" fillId="0" borderId="0" xfId="0" applyNumberFormat="1" applyFont="1" applyFill="1" applyAlignment="1" applyProtection="1">
      <alignment horizontal="center"/>
      <protection locked="0"/>
    </xf>
    <xf numFmtId="43" fontId="16" fillId="0" borderId="0" xfId="0" applyNumberFormat="1" applyFont="1" applyBorder="1"/>
    <xf numFmtId="167" fontId="16" fillId="0" borderId="21" xfId="0" applyNumberFormat="1" applyFont="1" applyBorder="1"/>
    <xf numFmtId="167" fontId="16" fillId="0" borderId="22" xfId="0" applyNumberFormat="1" applyFont="1" applyBorder="1"/>
    <xf numFmtId="0" fontId="16" fillId="0" borderId="17" xfId="0" applyFont="1" applyBorder="1"/>
    <xf numFmtId="41" fontId="16" fillId="0" borderId="0" xfId="0" applyNumberFormat="1" applyFont="1" applyFill="1" applyProtection="1">
      <protection locked="0"/>
    </xf>
    <xf numFmtId="0" fontId="16" fillId="0" borderId="17" xfId="0" applyFont="1" applyFill="1" applyBorder="1"/>
    <xf numFmtId="0" fontId="25" fillId="0" borderId="0" xfId="0" applyFont="1" applyBorder="1" applyAlignment="1">
      <alignment horizontal="right"/>
    </xf>
    <xf numFmtId="43" fontId="25" fillId="0" borderId="0" xfId="6" applyNumberFormat="1" applyFont="1" applyFill="1" applyBorder="1"/>
    <xf numFmtId="10" fontId="25" fillId="0" borderId="0" xfId="8" applyNumberFormat="1" applyFont="1" applyFill="1" applyBorder="1"/>
    <xf numFmtId="41" fontId="16" fillId="0" borderId="0" xfId="0" applyNumberFormat="1" applyFont="1" applyFill="1" applyBorder="1"/>
    <xf numFmtId="0" fontId="16" fillId="0" borderId="0" xfId="0" applyFont="1" applyFill="1" applyBorder="1"/>
    <xf numFmtId="10" fontId="16" fillId="0" borderId="0" xfId="0" applyNumberFormat="1" applyFont="1" applyFill="1" applyBorder="1"/>
    <xf numFmtId="0" fontId="16" fillId="0" borderId="18" xfId="0" applyFont="1" applyFill="1" applyBorder="1"/>
    <xf numFmtId="0" fontId="20" fillId="0" borderId="0" xfId="0" applyFont="1" applyFill="1" applyBorder="1"/>
    <xf numFmtId="0" fontId="16" fillId="0" borderId="23" xfId="0" applyFont="1" applyFill="1" applyBorder="1"/>
    <xf numFmtId="0" fontId="18" fillId="0" borderId="21" xfId="0" applyFont="1" applyFill="1" applyBorder="1" applyAlignment="1">
      <alignment horizontal="right"/>
    </xf>
    <xf numFmtId="43" fontId="16" fillId="0" borderId="21" xfId="6" applyNumberFormat="1" applyFont="1" applyFill="1" applyBorder="1"/>
    <xf numFmtId="10" fontId="16" fillId="0" borderId="21" xfId="8" applyNumberFormat="1" applyFont="1" applyFill="1" applyBorder="1"/>
    <xf numFmtId="0" fontId="16" fillId="0" borderId="21" xfId="0" applyFont="1" applyFill="1" applyBorder="1"/>
    <xf numFmtId="0" fontId="20" fillId="0" borderId="21" xfId="0" applyFont="1" applyFill="1" applyBorder="1"/>
    <xf numFmtId="10" fontId="16" fillId="0" borderId="21" xfId="0" applyNumberFormat="1" applyFont="1" applyFill="1" applyBorder="1"/>
    <xf numFmtId="0" fontId="16" fillId="0" borderId="22" xfId="0" applyFont="1" applyFill="1" applyBorder="1"/>
    <xf numFmtId="41" fontId="16" fillId="0" borderId="0" xfId="0" applyNumberFormat="1" applyFont="1" applyBorder="1"/>
    <xf numFmtId="168" fontId="16" fillId="0" borderId="0" xfId="0" applyNumberFormat="1" applyFont="1"/>
    <xf numFmtId="0" fontId="16" fillId="0" borderId="23" xfId="0" applyFont="1" applyBorder="1"/>
    <xf numFmtId="0" fontId="16" fillId="0" borderId="21" xfId="0" applyFont="1" applyBorder="1"/>
    <xf numFmtId="41" fontId="16" fillId="0" borderId="21" xfId="0" applyNumberFormat="1" applyFont="1" applyBorder="1"/>
    <xf numFmtId="41" fontId="16" fillId="0" borderId="22" xfId="0" applyNumberFormat="1" applyFont="1" applyBorder="1"/>
    <xf numFmtId="164" fontId="16" fillId="0" borderId="0" xfId="0" applyNumberFormat="1" applyFont="1" applyFill="1" applyProtection="1">
      <protection locked="0"/>
    </xf>
    <xf numFmtId="43" fontId="12" fillId="0" borderId="0" xfId="0" applyNumberFormat="1" applyFont="1"/>
    <xf numFmtId="41" fontId="16" fillId="0" borderId="0" xfId="0" applyNumberFormat="1" applyFont="1" applyFill="1" applyAlignment="1" applyProtection="1">
      <alignment horizontal="center"/>
      <protection locked="0"/>
    </xf>
    <xf numFmtId="44" fontId="16" fillId="0" borderId="0" xfId="0" applyNumberFormat="1" applyFont="1"/>
    <xf numFmtId="0" fontId="12" fillId="0" borderId="0" xfId="0" applyFont="1"/>
    <xf numFmtId="41" fontId="12" fillId="0" borderId="0" xfId="0" applyNumberFormat="1" applyFont="1"/>
    <xf numFmtId="44" fontId="12" fillId="0" borderId="0" xfId="0" applyNumberFormat="1" applyFont="1"/>
    <xf numFmtId="43" fontId="16" fillId="0" borderId="0" xfId="0" applyNumberFormat="1" applyFont="1"/>
    <xf numFmtId="166" fontId="12" fillId="0" borderId="0" xfId="0" applyNumberFormat="1" applyFont="1"/>
    <xf numFmtId="166" fontId="16" fillId="4" borderId="19" xfId="0" applyNumberFormat="1" applyFont="1" applyFill="1" applyBorder="1" applyProtection="1">
      <protection locked="0"/>
    </xf>
    <xf numFmtId="169" fontId="16" fillId="0" borderId="0" xfId="0" applyNumberFormat="1" applyFont="1"/>
    <xf numFmtId="10" fontId="27" fillId="0" borderId="0" xfId="8" applyNumberFormat="1" applyFont="1" applyFill="1" applyBorder="1" applyAlignment="1" applyProtection="1">
      <alignment horizontal="center"/>
      <protection locked="0"/>
    </xf>
    <xf numFmtId="41" fontId="16" fillId="0" borderId="0" xfId="0" applyNumberFormat="1" applyFont="1"/>
    <xf numFmtId="41" fontId="16" fillId="0" borderId="0" xfId="0" applyNumberFormat="1" applyFont="1" applyFill="1" applyBorder="1" applyAlignment="1" applyProtection="1">
      <alignment horizontal="center"/>
      <protection locked="0"/>
    </xf>
    <xf numFmtId="10" fontId="27" fillId="0" borderId="0" xfId="8" applyNumberFormat="1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2" fontId="16" fillId="0" borderId="0" xfId="0" applyNumberFormat="1" applyFont="1" applyFill="1" applyBorder="1" applyProtection="1">
      <protection locked="0"/>
    </xf>
    <xf numFmtId="41" fontId="16" fillId="0" borderId="0" xfId="0" applyNumberFormat="1" applyFont="1" applyAlignment="1" applyProtection="1">
      <alignment horizontal="center"/>
      <protection locked="0"/>
    </xf>
    <xf numFmtId="0" fontId="5" fillId="0" borderId="0" xfId="4"/>
    <xf numFmtId="0" fontId="20" fillId="2" borderId="0" xfId="0" applyFont="1" applyFill="1" applyProtection="1">
      <protection locked="0"/>
    </xf>
    <xf numFmtId="42" fontId="16" fillId="4" borderId="19" xfId="0" applyNumberFormat="1" applyFont="1" applyFill="1" applyBorder="1" applyProtection="1">
      <protection locked="0"/>
    </xf>
    <xf numFmtId="0" fontId="28" fillId="0" borderId="0" xfId="0" applyFont="1"/>
    <xf numFmtId="0" fontId="16" fillId="0" borderId="0" xfId="0" applyFont="1" applyAlignment="1">
      <alignment horizontal="right"/>
    </xf>
    <xf numFmtId="0" fontId="16" fillId="8" borderId="19" xfId="0" applyFont="1" applyFill="1" applyBorder="1"/>
    <xf numFmtId="41" fontId="16" fillId="0" borderId="0" xfId="0" applyNumberFormat="1" applyFont="1" applyAlignment="1">
      <alignment horizontal="center"/>
    </xf>
    <xf numFmtId="0" fontId="16" fillId="8" borderId="19" xfId="0" applyFont="1" applyFill="1" applyBorder="1" applyProtection="1">
      <protection locked="0"/>
    </xf>
    <xf numFmtId="0" fontId="29" fillId="0" borderId="0" xfId="0" applyFont="1"/>
    <xf numFmtId="0" fontId="15" fillId="9" borderId="0" xfId="0" applyFont="1" applyFill="1" applyAlignment="1">
      <alignment horizontal="right"/>
    </xf>
    <xf numFmtId="41" fontId="16" fillId="9" borderId="0" xfId="0" applyNumberFormat="1" applyFont="1" applyFill="1"/>
    <xf numFmtId="41" fontId="16" fillId="9" borderId="0" xfId="0" applyNumberFormat="1" applyFont="1" applyFill="1" applyAlignment="1">
      <alignment horizontal="center"/>
    </xf>
    <xf numFmtId="0" fontId="20" fillId="0" borderId="0" xfId="0" applyFont="1" applyAlignment="1" applyProtection="1">
      <alignment horizontal="left" indent="4"/>
      <protection locked="0"/>
    </xf>
    <xf numFmtId="164" fontId="16" fillId="0" borderId="0" xfId="0" applyNumberFormat="1" applyFont="1" applyProtection="1">
      <protection locked="0"/>
    </xf>
    <xf numFmtId="0" fontId="20" fillId="0" borderId="0" xfId="0" applyFont="1" applyAlignment="1">
      <alignment horizontal="left" indent="4"/>
    </xf>
    <xf numFmtId="0" fontId="20" fillId="0" borderId="0" xfId="0" applyFont="1" applyFill="1" applyBorder="1" applyAlignment="1">
      <alignment horizontal="left" indent="4"/>
    </xf>
    <xf numFmtId="41" fontId="16" fillId="0" borderId="0" xfId="0" applyNumberFormat="1" applyFont="1" applyProtection="1">
      <protection locked="0"/>
    </xf>
    <xf numFmtId="167" fontId="16" fillId="0" borderId="0" xfId="6" applyNumberFormat="1" applyFont="1"/>
    <xf numFmtId="0" fontId="16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167" fontId="30" fillId="0" borderId="0" xfId="6" applyNumberFormat="1" applyFont="1" applyBorder="1"/>
    <xf numFmtId="167" fontId="16" fillId="0" borderId="0" xfId="6" applyNumberFormat="1" applyFont="1" applyFill="1" applyBorder="1"/>
    <xf numFmtId="0" fontId="20" fillId="0" borderId="0" xfId="0" applyFont="1" applyFill="1" applyBorder="1" applyAlignment="1">
      <alignment horizontal="center" vertical="center"/>
    </xf>
    <xf numFmtId="164" fontId="16" fillId="0" borderId="0" xfId="0" applyNumberFormat="1" applyFont="1" applyBorder="1"/>
    <xf numFmtId="164" fontId="16" fillId="0" borderId="0" xfId="0" applyNumberFormat="1" applyFont="1" applyFill="1" applyBorder="1"/>
    <xf numFmtId="41" fontId="16" fillId="0" borderId="0" xfId="0" applyNumberFormat="1" applyFont="1" applyFill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0" xfId="0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166" fontId="16" fillId="0" borderId="0" xfId="0" applyNumberFormat="1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20" fillId="0" borderId="0" xfId="0" applyFont="1" applyBorder="1"/>
    <xf numFmtId="164" fontId="16" fillId="0" borderId="0" xfId="0" applyNumberFormat="1" applyFont="1" applyBorder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41" fontId="20" fillId="0" borderId="0" xfId="0" applyNumberFormat="1" applyFont="1" applyFill="1" applyBorder="1" applyAlignment="1" applyProtection="1">
      <alignment horizontal="center"/>
      <protection locked="0"/>
    </xf>
    <xf numFmtId="43" fontId="16" fillId="0" borderId="0" xfId="0" applyNumberFormat="1" applyFont="1" applyAlignment="1">
      <alignment horizontal="right"/>
    </xf>
    <xf numFmtId="41" fontId="18" fillId="0" borderId="0" xfId="0" applyNumberFormat="1" applyFont="1" applyFill="1"/>
    <xf numFmtId="166" fontId="16" fillId="0" borderId="0" xfId="0" applyNumberFormat="1" applyFont="1" applyAlignment="1">
      <alignment horizontal="right"/>
    </xf>
    <xf numFmtId="166" fontId="16" fillId="0" borderId="0" xfId="0" applyNumberFormat="1" applyFont="1"/>
    <xf numFmtId="0" fontId="20" fillId="10" borderId="0" xfId="0" applyFont="1" applyFill="1" applyBorder="1" applyAlignment="1">
      <alignment horizontal="center" vertical="center"/>
    </xf>
    <xf numFmtId="164" fontId="16" fillId="10" borderId="0" xfId="0" applyNumberFormat="1" applyFont="1" applyFill="1"/>
    <xf numFmtId="41" fontId="16" fillId="10" borderId="0" xfId="0" applyNumberFormat="1" applyFont="1" applyFill="1"/>
    <xf numFmtId="41" fontId="16" fillId="10" borderId="0" xfId="0" applyNumberFormat="1" applyFont="1" applyFill="1" applyAlignment="1">
      <alignment horizontal="center"/>
    </xf>
    <xf numFmtId="41" fontId="31" fillId="0" borderId="0" xfId="0" applyNumberFormat="1" applyFont="1"/>
    <xf numFmtId="41" fontId="20" fillId="0" borderId="0" xfId="0" applyNumberFormat="1" applyFont="1" applyFill="1" applyProtection="1">
      <protection locked="0"/>
    </xf>
    <xf numFmtId="0" fontId="15" fillId="0" borderId="0" xfId="0" applyFont="1"/>
    <xf numFmtId="164" fontId="16" fillId="2" borderId="0" xfId="0" applyNumberFormat="1" applyFont="1" applyFill="1"/>
    <xf numFmtId="41" fontId="18" fillId="2" borderId="0" xfId="0" applyNumberFormat="1" applyFont="1" applyFill="1"/>
    <xf numFmtId="41" fontId="18" fillId="2" borderId="0" xfId="0" applyNumberFormat="1" applyFont="1" applyFill="1" applyAlignment="1">
      <alignment horizontal="center"/>
    </xf>
    <xf numFmtId="164" fontId="18" fillId="0" borderId="0" xfId="0" applyNumberFormat="1" applyFont="1" applyFill="1" applyProtection="1">
      <protection locked="0"/>
    </xf>
    <xf numFmtId="1" fontId="18" fillId="2" borderId="0" xfId="0" applyNumberFormat="1" applyFont="1" applyFill="1" applyAlignment="1">
      <alignment horizontal="center"/>
    </xf>
    <xf numFmtId="1" fontId="18" fillId="0" borderId="0" xfId="0" applyNumberFormat="1" applyFont="1" applyFill="1" applyAlignment="1">
      <alignment horizontal="center"/>
    </xf>
    <xf numFmtId="0" fontId="15" fillId="11" borderId="0" xfId="0" applyFont="1" applyFill="1"/>
    <xf numFmtId="164" fontId="16" fillId="11" borderId="0" xfId="0" applyNumberFormat="1" applyFont="1" applyFill="1"/>
    <xf numFmtId="41" fontId="16" fillId="11" borderId="0" xfId="0" applyNumberFormat="1" applyFont="1" applyFill="1"/>
    <xf numFmtId="41" fontId="16" fillId="11" borderId="0" xfId="0" applyNumberFormat="1" applyFont="1" applyFill="1" applyAlignment="1">
      <alignment horizontal="center"/>
    </xf>
    <xf numFmtId="164" fontId="18" fillId="0" borderId="0" xfId="0" applyNumberFormat="1" applyFont="1" applyFill="1" applyAlignment="1">
      <alignment horizontal="right"/>
    </xf>
    <xf numFmtId="41" fontId="18" fillId="0" borderId="0" xfId="0" applyNumberFormat="1" applyFont="1"/>
    <xf numFmtId="0" fontId="32" fillId="0" borderId="0" xfId="0" applyFont="1"/>
    <xf numFmtId="164" fontId="0" fillId="0" borderId="0" xfId="0" applyNumberFormat="1" applyFont="1"/>
    <xf numFmtId="0" fontId="3" fillId="0" borderId="3" xfId="3" applyAlignment="1">
      <alignment horizontal="center" vertical="center" wrapText="1"/>
    </xf>
  </cellXfs>
  <cellStyles count="9">
    <cellStyle name="Comma" xfId="6" builtinId="3"/>
    <cellStyle name="Currency" xfId="7" builtinId="4"/>
    <cellStyle name="Heading 1" xfId="1" builtinId="16"/>
    <cellStyle name="Heading 2" xfId="2" builtinId="17"/>
    <cellStyle name="Heading 3" xfId="3" builtinId="18"/>
    <cellStyle name="Hyperlink" xfId="4" builtinId="8"/>
    <cellStyle name="Normal" xfId="0" builtinId="0"/>
    <cellStyle name="Normal 2" xfId="5"/>
    <cellStyle name="Percent" xfId="8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9F6E845-B358-4EB2-BFCE-2FFFF70ADFE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472F9241-1D87-4496-A0BB-ED81DFF6C0CE}" type="pres">
      <dgm:prSet presAssocID="{F9F6E845-B358-4EB2-BFCE-2FFFF70ADFE3}" presName="Name0" presStyleCnt="0">
        <dgm:presLayoutVars>
          <dgm:dir/>
          <dgm:resizeHandles val="exact"/>
        </dgm:presLayoutVars>
      </dgm:prSet>
      <dgm:spPr/>
    </dgm:pt>
  </dgm:ptLst>
  <dgm:cxnLst>
    <dgm:cxn modelId="{A57F770E-BAC1-4DCD-A801-5CFA242F9441}" type="presOf" srcId="{F9F6E845-B358-4EB2-BFCE-2FFFF70ADFE3}" destId="{472F9241-1D87-4496-A0BB-ED81DFF6C0CE}" srcOrd="0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2A01C43B-1EDD-4EC3-A046-38A3758FB003}" type="doc">
      <dgm:prSet loTypeId="urn:microsoft.com/office/officeart/2005/8/layout/chevron1" loCatId="process" qsTypeId="urn:microsoft.com/office/officeart/2005/8/quickstyle/simple1" qsCatId="simple" csTypeId="urn:microsoft.com/office/officeart/2005/8/colors/accent1_2" csCatId="accent1" phldr="1"/>
      <dgm:spPr/>
    </dgm:pt>
    <dgm:pt modelId="{CABC85CF-C902-47EB-9B29-827C0AFA748F}">
      <dgm:prSet phldrT="[Text]"/>
      <dgm:spPr/>
      <dgm:t>
        <a:bodyPr/>
        <a:lstStyle/>
        <a:p>
          <a:r>
            <a:rPr lang="en-US"/>
            <a:t>Abstract,Budget &amp; Budget Justification to the SPC - 1 week prior  to Sponsor Due Date</a:t>
          </a:r>
        </a:p>
      </dgm:t>
    </dgm:pt>
    <dgm:pt modelId="{52B7D0EE-577D-4DCE-9673-08A40551459B}" type="parTrans" cxnId="{BF4AC92E-748D-4786-A578-5EE18F2DA6B8}">
      <dgm:prSet/>
      <dgm:spPr/>
      <dgm:t>
        <a:bodyPr/>
        <a:lstStyle/>
        <a:p>
          <a:endParaRPr lang="en-US"/>
        </a:p>
      </dgm:t>
    </dgm:pt>
    <dgm:pt modelId="{10728505-FCBF-4AA8-B8CD-0AEEDE41F0D0}" type="sibTrans" cxnId="{BF4AC92E-748D-4786-A578-5EE18F2DA6B8}">
      <dgm:prSet/>
      <dgm:spPr/>
      <dgm:t>
        <a:bodyPr/>
        <a:lstStyle/>
        <a:p>
          <a:endParaRPr lang="en-US"/>
        </a:p>
      </dgm:t>
    </dgm:pt>
    <dgm:pt modelId="{09128BDF-A9B7-4BA2-B112-40F09F238095}">
      <dgm:prSet phldrT="[Text]"/>
      <dgm:spPr/>
      <dgm:t>
        <a:bodyPr/>
        <a:lstStyle/>
        <a:p>
          <a:r>
            <a:rPr lang="en-US"/>
            <a:t>Title and all  Remaining Required Documents to SPC -  5 days prior to Sponsor Due Date</a:t>
          </a:r>
        </a:p>
      </dgm:t>
    </dgm:pt>
    <dgm:pt modelId="{9EA80603-3080-472B-9C24-B090C8DFF93A}" type="parTrans" cxnId="{7611C69D-D8B7-438C-BEC3-FC6FD5428633}">
      <dgm:prSet/>
      <dgm:spPr/>
      <dgm:t>
        <a:bodyPr/>
        <a:lstStyle/>
        <a:p>
          <a:endParaRPr lang="en-US"/>
        </a:p>
      </dgm:t>
    </dgm:pt>
    <dgm:pt modelId="{94A9B532-DCCA-446B-B6F2-6B4B71321DB0}" type="sibTrans" cxnId="{7611C69D-D8B7-438C-BEC3-FC6FD5428633}">
      <dgm:prSet/>
      <dgm:spPr/>
      <dgm:t>
        <a:bodyPr/>
        <a:lstStyle/>
        <a:p>
          <a:endParaRPr lang="en-US"/>
        </a:p>
      </dgm:t>
    </dgm:pt>
    <dgm:pt modelId="{DF045494-77A8-45F2-BD3C-B41E16D8D963}">
      <dgm:prSet phldrT="[Text]"/>
      <dgm:spPr/>
      <dgm:t>
        <a:bodyPr/>
        <a:lstStyle/>
        <a:p>
          <a:r>
            <a:rPr lang="en-US"/>
            <a:t>Final Proposal Due to Research Office -  72 hours prior to Sponsor Due Date</a:t>
          </a:r>
        </a:p>
      </dgm:t>
    </dgm:pt>
    <dgm:pt modelId="{87B4E1D9-1D14-4A78-A657-627AC8789223}" type="parTrans" cxnId="{11F9A93C-B776-406A-A05F-1A3E9B187AE9}">
      <dgm:prSet/>
      <dgm:spPr/>
      <dgm:t>
        <a:bodyPr/>
        <a:lstStyle/>
        <a:p>
          <a:endParaRPr lang="en-US"/>
        </a:p>
      </dgm:t>
    </dgm:pt>
    <dgm:pt modelId="{2B72381F-961D-4BB0-A4FD-334AA1F74646}" type="sibTrans" cxnId="{11F9A93C-B776-406A-A05F-1A3E9B187AE9}">
      <dgm:prSet/>
      <dgm:spPr/>
      <dgm:t>
        <a:bodyPr/>
        <a:lstStyle/>
        <a:p>
          <a:endParaRPr lang="en-US"/>
        </a:p>
      </dgm:t>
    </dgm:pt>
    <dgm:pt modelId="{75F95B4B-42B5-42E5-A1CE-CE58E7C07BAD}">
      <dgm:prSet phldrT="[Text]"/>
      <dgm:spPr/>
      <dgm:t>
        <a:bodyPr/>
        <a:lstStyle/>
        <a:p>
          <a:r>
            <a:rPr lang="en-US"/>
            <a:t>Due To Sponsor</a:t>
          </a:r>
        </a:p>
      </dgm:t>
    </dgm:pt>
    <dgm:pt modelId="{3036EA59-123F-4565-AECD-1E41A75AC6E3}" type="parTrans" cxnId="{72EB0E45-5580-4B22-90AF-4A98DDD6581C}">
      <dgm:prSet/>
      <dgm:spPr/>
      <dgm:t>
        <a:bodyPr/>
        <a:lstStyle/>
        <a:p>
          <a:endParaRPr lang="en-US"/>
        </a:p>
      </dgm:t>
    </dgm:pt>
    <dgm:pt modelId="{2912E332-FEA6-404D-9EBC-16E2DED9D6DA}" type="sibTrans" cxnId="{72EB0E45-5580-4B22-90AF-4A98DDD6581C}">
      <dgm:prSet/>
      <dgm:spPr/>
      <dgm:t>
        <a:bodyPr/>
        <a:lstStyle/>
        <a:p>
          <a:endParaRPr lang="en-US"/>
        </a:p>
      </dgm:t>
    </dgm:pt>
    <dgm:pt modelId="{9FDBD100-2F63-450E-9A0C-5908AA591255}" type="pres">
      <dgm:prSet presAssocID="{2A01C43B-1EDD-4EC3-A046-38A3758FB003}" presName="Name0" presStyleCnt="0">
        <dgm:presLayoutVars>
          <dgm:dir/>
          <dgm:animLvl val="lvl"/>
          <dgm:resizeHandles val="exact"/>
        </dgm:presLayoutVars>
      </dgm:prSet>
      <dgm:spPr/>
    </dgm:pt>
    <dgm:pt modelId="{F2E36D40-74F7-419F-B56E-74B29606E4B6}" type="pres">
      <dgm:prSet presAssocID="{CABC85CF-C902-47EB-9B29-827C0AFA748F}" presName="parTxOnly" presStyleLbl="node1" presStyleIdx="0" presStyleCnt="4" custScaleY="13941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0EB5798C-DC47-4CB3-A5A9-18BED08CB28D}" type="pres">
      <dgm:prSet presAssocID="{10728505-FCBF-4AA8-B8CD-0AEEDE41F0D0}" presName="parTxOnlySpace" presStyleCnt="0"/>
      <dgm:spPr/>
    </dgm:pt>
    <dgm:pt modelId="{C3E5EA4B-B79A-448B-9A1E-9CD89942EF78}" type="pres">
      <dgm:prSet presAssocID="{09128BDF-A9B7-4BA2-B112-40F09F238095}" presName="parTxOnly" presStyleLbl="node1" presStyleIdx="1" presStyleCnt="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4313752C-020E-46D9-99B6-0B977DF4BB64}" type="pres">
      <dgm:prSet presAssocID="{94A9B532-DCCA-446B-B6F2-6B4B71321DB0}" presName="parTxOnlySpace" presStyleCnt="0"/>
      <dgm:spPr/>
    </dgm:pt>
    <dgm:pt modelId="{64687004-528B-49A9-99CE-F33DDC824520}" type="pres">
      <dgm:prSet presAssocID="{DF045494-77A8-45F2-BD3C-B41E16D8D963}" presName="parTxOnly" presStyleLbl="node1" presStyleIdx="2" presStyleCnt="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1B41FCA-2E53-4052-AA67-09976CEC93C9}" type="pres">
      <dgm:prSet presAssocID="{2B72381F-961D-4BB0-A4FD-334AA1F74646}" presName="parTxOnlySpace" presStyleCnt="0"/>
      <dgm:spPr/>
    </dgm:pt>
    <dgm:pt modelId="{08A9A72D-088D-4225-8E70-5B75AECF0AE0}" type="pres">
      <dgm:prSet presAssocID="{75F95B4B-42B5-42E5-A1CE-CE58E7C07BAD}" presName="parTxOnly" presStyleLbl="node1" presStyleIdx="3" presStyleCnt="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72EB0E45-5580-4B22-90AF-4A98DDD6581C}" srcId="{2A01C43B-1EDD-4EC3-A046-38A3758FB003}" destId="{75F95B4B-42B5-42E5-A1CE-CE58E7C07BAD}" srcOrd="3" destOrd="0" parTransId="{3036EA59-123F-4565-AECD-1E41A75AC6E3}" sibTransId="{2912E332-FEA6-404D-9EBC-16E2DED9D6DA}"/>
    <dgm:cxn modelId="{7611C69D-D8B7-438C-BEC3-FC6FD5428633}" srcId="{2A01C43B-1EDD-4EC3-A046-38A3758FB003}" destId="{09128BDF-A9B7-4BA2-B112-40F09F238095}" srcOrd="1" destOrd="0" parTransId="{9EA80603-3080-472B-9C24-B090C8DFF93A}" sibTransId="{94A9B532-DCCA-446B-B6F2-6B4B71321DB0}"/>
    <dgm:cxn modelId="{11F9A93C-B776-406A-A05F-1A3E9B187AE9}" srcId="{2A01C43B-1EDD-4EC3-A046-38A3758FB003}" destId="{DF045494-77A8-45F2-BD3C-B41E16D8D963}" srcOrd="2" destOrd="0" parTransId="{87B4E1D9-1D14-4A78-A657-627AC8789223}" sibTransId="{2B72381F-961D-4BB0-A4FD-334AA1F74646}"/>
    <dgm:cxn modelId="{C3569D1A-33AC-4F9B-8605-7F329B5F27A2}" type="presOf" srcId="{2A01C43B-1EDD-4EC3-A046-38A3758FB003}" destId="{9FDBD100-2F63-450E-9A0C-5908AA591255}" srcOrd="0" destOrd="0" presId="urn:microsoft.com/office/officeart/2005/8/layout/chevron1"/>
    <dgm:cxn modelId="{BF4AC92E-748D-4786-A578-5EE18F2DA6B8}" srcId="{2A01C43B-1EDD-4EC3-A046-38A3758FB003}" destId="{CABC85CF-C902-47EB-9B29-827C0AFA748F}" srcOrd="0" destOrd="0" parTransId="{52B7D0EE-577D-4DCE-9673-08A40551459B}" sibTransId="{10728505-FCBF-4AA8-B8CD-0AEEDE41F0D0}"/>
    <dgm:cxn modelId="{CF2C4311-2712-46AB-A11A-42CE5B6A305C}" type="presOf" srcId="{09128BDF-A9B7-4BA2-B112-40F09F238095}" destId="{C3E5EA4B-B79A-448B-9A1E-9CD89942EF78}" srcOrd="0" destOrd="0" presId="urn:microsoft.com/office/officeart/2005/8/layout/chevron1"/>
    <dgm:cxn modelId="{5E48C3DB-F07B-4F3E-983A-128BA2AE268B}" type="presOf" srcId="{CABC85CF-C902-47EB-9B29-827C0AFA748F}" destId="{F2E36D40-74F7-419F-B56E-74B29606E4B6}" srcOrd="0" destOrd="0" presId="urn:microsoft.com/office/officeart/2005/8/layout/chevron1"/>
    <dgm:cxn modelId="{7B263DC6-796B-46D6-BE1F-7A724EB3A226}" type="presOf" srcId="{75F95B4B-42B5-42E5-A1CE-CE58E7C07BAD}" destId="{08A9A72D-088D-4225-8E70-5B75AECF0AE0}" srcOrd="0" destOrd="0" presId="urn:microsoft.com/office/officeart/2005/8/layout/chevron1"/>
    <dgm:cxn modelId="{5F273621-35AD-4D71-A146-40304203E445}" type="presOf" srcId="{DF045494-77A8-45F2-BD3C-B41E16D8D963}" destId="{64687004-528B-49A9-99CE-F33DDC824520}" srcOrd="0" destOrd="0" presId="urn:microsoft.com/office/officeart/2005/8/layout/chevron1"/>
    <dgm:cxn modelId="{0A8A8C4F-EF5D-49D2-A0C8-FFDB2E0826A5}" type="presParOf" srcId="{9FDBD100-2F63-450E-9A0C-5908AA591255}" destId="{F2E36D40-74F7-419F-B56E-74B29606E4B6}" srcOrd="0" destOrd="0" presId="urn:microsoft.com/office/officeart/2005/8/layout/chevron1"/>
    <dgm:cxn modelId="{85FD7A09-67E4-4B0C-8488-1B657ADDC531}" type="presParOf" srcId="{9FDBD100-2F63-450E-9A0C-5908AA591255}" destId="{0EB5798C-DC47-4CB3-A5A9-18BED08CB28D}" srcOrd="1" destOrd="0" presId="urn:microsoft.com/office/officeart/2005/8/layout/chevron1"/>
    <dgm:cxn modelId="{73C11C7C-D980-4F2A-9C66-206D465A4279}" type="presParOf" srcId="{9FDBD100-2F63-450E-9A0C-5908AA591255}" destId="{C3E5EA4B-B79A-448B-9A1E-9CD89942EF78}" srcOrd="2" destOrd="0" presId="urn:microsoft.com/office/officeart/2005/8/layout/chevron1"/>
    <dgm:cxn modelId="{2287C4EF-5874-4E10-8B62-655A85EDE601}" type="presParOf" srcId="{9FDBD100-2F63-450E-9A0C-5908AA591255}" destId="{4313752C-020E-46D9-99B6-0B977DF4BB64}" srcOrd="3" destOrd="0" presId="urn:microsoft.com/office/officeart/2005/8/layout/chevron1"/>
    <dgm:cxn modelId="{61C57EFD-9EC6-40C7-9B15-340B43E5BAC4}" type="presParOf" srcId="{9FDBD100-2F63-450E-9A0C-5908AA591255}" destId="{64687004-528B-49A9-99CE-F33DDC824520}" srcOrd="4" destOrd="0" presId="urn:microsoft.com/office/officeart/2005/8/layout/chevron1"/>
    <dgm:cxn modelId="{74633021-E3A4-4C4D-A0C0-FDFC74F6C5C5}" type="presParOf" srcId="{9FDBD100-2F63-450E-9A0C-5908AA591255}" destId="{31B41FCA-2E53-4052-AA67-09976CEC93C9}" srcOrd="5" destOrd="0" presId="urn:microsoft.com/office/officeart/2005/8/layout/chevron1"/>
    <dgm:cxn modelId="{2BF33799-6FCB-4B4A-AB53-352E52E54A27}" type="presParOf" srcId="{9FDBD100-2F63-450E-9A0C-5908AA591255}" destId="{08A9A72D-088D-4225-8E70-5B75AECF0AE0}" srcOrd="6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2E36D40-74F7-419F-B56E-74B29606E4B6}">
      <dsp:nvSpPr>
        <dsp:cNvPr id="0" name=""/>
        <dsp:cNvSpPr/>
      </dsp:nvSpPr>
      <dsp:spPr>
        <a:xfrm>
          <a:off x="3004" y="841101"/>
          <a:ext cx="1748916" cy="975272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2004" tIns="10668" rIns="10668" bIns="10668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800" kern="1200"/>
            <a:t>Abstract,Budget &amp; Budget Justification to the SPC - 1 week prior  to Sponsor Due Date</a:t>
          </a:r>
        </a:p>
      </dsp:txBody>
      <dsp:txXfrm>
        <a:off x="490640" y="841101"/>
        <a:ext cx="773644" cy="975272"/>
      </dsp:txXfrm>
    </dsp:sp>
    <dsp:sp modelId="{C3E5EA4B-B79A-448B-9A1E-9CD89942EF78}">
      <dsp:nvSpPr>
        <dsp:cNvPr id="0" name=""/>
        <dsp:cNvSpPr/>
      </dsp:nvSpPr>
      <dsp:spPr>
        <a:xfrm>
          <a:off x="1577029" y="978954"/>
          <a:ext cx="1748916" cy="699566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2004" tIns="10668" rIns="10668" bIns="10668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800" kern="1200"/>
            <a:t>Title and all  Remaining Required Documents to SPC -  5 days prior to Sponsor Due Date</a:t>
          </a:r>
        </a:p>
      </dsp:txBody>
      <dsp:txXfrm>
        <a:off x="1926812" y="978954"/>
        <a:ext cx="1049350" cy="699566"/>
      </dsp:txXfrm>
    </dsp:sp>
    <dsp:sp modelId="{64687004-528B-49A9-99CE-F33DDC824520}">
      <dsp:nvSpPr>
        <dsp:cNvPr id="0" name=""/>
        <dsp:cNvSpPr/>
      </dsp:nvSpPr>
      <dsp:spPr>
        <a:xfrm>
          <a:off x="3151054" y="978954"/>
          <a:ext cx="1748916" cy="699566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2004" tIns="10668" rIns="10668" bIns="10668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800" kern="1200"/>
            <a:t>Final Proposal Due to Research Office -  72 hours prior to Sponsor Due Date</a:t>
          </a:r>
        </a:p>
      </dsp:txBody>
      <dsp:txXfrm>
        <a:off x="3500837" y="978954"/>
        <a:ext cx="1049350" cy="699566"/>
      </dsp:txXfrm>
    </dsp:sp>
    <dsp:sp modelId="{08A9A72D-088D-4225-8E70-5B75AECF0AE0}">
      <dsp:nvSpPr>
        <dsp:cNvPr id="0" name=""/>
        <dsp:cNvSpPr/>
      </dsp:nvSpPr>
      <dsp:spPr>
        <a:xfrm>
          <a:off x="4725079" y="978954"/>
          <a:ext cx="1748916" cy="699566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2004" tIns="10668" rIns="10668" bIns="10668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800" kern="1200"/>
            <a:t>Due To Sponsor</a:t>
          </a:r>
        </a:p>
      </dsp:txBody>
      <dsp:txXfrm>
        <a:off x="5074862" y="978954"/>
        <a:ext cx="1049350" cy="69956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2133598</xdr:colOff>
      <xdr:row>8</xdr:row>
      <xdr:rowOff>19050</xdr:rowOff>
    </xdr:from>
    <xdr:to>
      <xdr:col>2</xdr:col>
      <xdr:colOff>2686049</xdr:colOff>
      <xdr:row>14</xdr:row>
      <xdr:rowOff>95250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771525</xdr:colOff>
      <xdr:row>5</xdr:row>
      <xdr:rowOff>209550</xdr:rowOff>
    </xdr:from>
    <xdr:to>
      <xdr:col>3</xdr:col>
      <xdr:colOff>200025</xdr:colOff>
      <xdr:row>16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0</xdr:rowOff>
    </xdr:from>
    <xdr:to>
      <xdr:col>2</xdr:col>
      <xdr:colOff>800100</xdr:colOff>
      <xdr:row>5</xdr:row>
      <xdr:rowOff>0</xdr:rowOff>
    </xdr:to>
    <xdr:cxnSp macro="">
      <xdr:nvCxnSpPr>
        <xdr:cNvPr id="7" name="Straight Connector 6"/>
        <xdr:cNvCxnSpPr/>
      </xdr:nvCxnSpPr>
      <xdr:spPr>
        <a:xfrm>
          <a:off x="4029075" y="1314450"/>
          <a:ext cx="781050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</xdr:rowOff>
        </xdr:from>
        <xdr:to>
          <xdr:col>2</xdr:col>
          <xdr:colOff>790575</xdr:colOff>
          <xdr:row>41</xdr:row>
          <xdr:rowOff>266700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3667125</xdr:colOff>
      <xdr:row>41</xdr:row>
      <xdr:rowOff>0</xdr:rowOff>
    </xdr:from>
    <xdr:to>
      <xdr:col>3</xdr:col>
      <xdr:colOff>0</xdr:colOff>
      <xdr:row>41</xdr:row>
      <xdr:rowOff>0</xdr:rowOff>
    </xdr:to>
    <xdr:cxnSp macro="">
      <xdr:nvCxnSpPr>
        <xdr:cNvPr id="9" name="Straight Connector 8"/>
        <xdr:cNvCxnSpPr/>
      </xdr:nvCxnSpPr>
      <xdr:spPr>
        <a:xfrm>
          <a:off x="4276725" y="10391775"/>
          <a:ext cx="828675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43</xdr:row>
          <xdr:rowOff>28575</xdr:rowOff>
        </xdr:from>
        <xdr:to>
          <xdr:col>2</xdr:col>
          <xdr:colOff>790575</xdr:colOff>
          <xdr:row>44</xdr:row>
          <xdr:rowOff>295275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3657600</xdr:colOff>
      <xdr:row>44</xdr:row>
      <xdr:rowOff>0</xdr:rowOff>
    </xdr:from>
    <xdr:to>
      <xdr:col>3</xdr:col>
      <xdr:colOff>19050</xdr:colOff>
      <xdr:row>44</xdr:row>
      <xdr:rowOff>0</xdr:rowOff>
    </xdr:to>
    <xdr:cxnSp macro="">
      <xdr:nvCxnSpPr>
        <xdr:cNvPr id="11" name="Straight Connector 10"/>
        <xdr:cNvCxnSpPr/>
      </xdr:nvCxnSpPr>
      <xdr:spPr>
        <a:xfrm>
          <a:off x="4267200" y="11591925"/>
          <a:ext cx="857250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44</xdr:row>
      <xdr:rowOff>28575</xdr:rowOff>
    </xdr:from>
    <xdr:to>
      <xdr:col>2</xdr:col>
      <xdr:colOff>800100</xdr:colOff>
      <xdr:row>44</xdr:row>
      <xdr:rowOff>276225</xdr:rowOff>
    </xdr:to>
    <xdr:sp macro="" textlink="">
      <xdr:nvSpPr>
        <xdr:cNvPr id="12" name="TextBox 11"/>
        <xdr:cNvSpPr txBox="1"/>
      </xdr:nvSpPr>
      <xdr:spPr>
        <a:xfrm>
          <a:off x="4305300" y="11620500"/>
          <a:ext cx="7810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check FOA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28575</xdr:rowOff>
        </xdr:from>
        <xdr:to>
          <xdr:col>2</xdr:col>
          <xdr:colOff>790575</xdr:colOff>
          <xdr:row>8</xdr:row>
          <xdr:rowOff>152400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3600450</xdr:colOff>
      <xdr:row>7</xdr:row>
      <xdr:rowOff>19050</xdr:rowOff>
    </xdr:from>
    <xdr:to>
      <xdr:col>3</xdr:col>
      <xdr:colOff>228600</xdr:colOff>
      <xdr:row>7</xdr:row>
      <xdr:rowOff>28575</xdr:rowOff>
    </xdr:to>
    <xdr:cxnSp macro="">
      <xdr:nvCxnSpPr>
        <xdr:cNvPr id="22" name="Straight Connector 21"/>
        <xdr:cNvCxnSpPr/>
      </xdr:nvCxnSpPr>
      <xdr:spPr>
        <a:xfrm flipV="1">
          <a:off x="4210050" y="2114550"/>
          <a:ext cx="1123950" cy="9525"/>
        </a:xfrm>
        <a:prstGeom prst="line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8</xdr:row>
      <xdr:rowOff>47625</xdr:rowOff>
    </xdr:from>
    <xdr:to>
      <xdr:col>2</xdr:col>
      <xdr:colOff>581025</xdr:colOff>
      <xdr:row>8</xdr:row>
      <xdr:rowOff>276225</xdr:rowOff>
    </xdr:to>
    <xdr:sp macro="" textlink="">
      <xdr:nvSpPr>
        <xdr:cNvPr id="24" name="TextBox 23"/>
        <xdr:cNvSpPr txBox="1"/>
      </xdr:nvSpPr>
      <xdr:spPr>
        <a:xfrm>
          <a:off x="4552950" y="2200275"/>
          <a:ext cx="3143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s://grants.nih.gov/grants/forms/biosketch-blankformat.docx" TargetMode="External"/><Relationship Id="rId7" Type="http://schemas.openxmlformats.org/officeDocument/2006/relationships/package" Target="../embeddings/Microsoft_Word_Document.docx"/><Relationship Id="rId2" Type="http://schemas.openxmlformats.org/officeDocument/2006/relationships/hyperlink" Target="https://grants.nih.gov/grants/how-to-apply-application-guide/forms-e/general/g.500-phs-human-subjects-and-clinical-trials-information.htm" TargetMode="External"/><Relationship Id="rId1" Type="http://schemas.openxmlformats.org/officeDocument/2006/relationships/hyperlink" Target="http://www.udel.edu/research/doc/budget-justification-template.docx" TargetMode="External"/><Relationship Id="rId6" Type="http://schemas.openxmlformats.org/officeDocument/2006/relationships/vmlDrawing" Target="../drawings/vmlDrawing1.vml"/><Relationship Id="rId11" Type="http://schemas.openxmlformats.org/officeDocument/2006/relationships/package" Target="../embeddings/Microsoft_Word_Document1.docx"/><Relationship Id="rId5" Type="http://schemas.openxmlformats.org/officeDocument/2006/relationships/drawing" Target="../drawings/drawing2.xml"/><Relationship Id="rId10" Type="http://schemas.openxmlformats.org/officeDocument/2006/relationships/image" Target="../media/image2.emf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4" sqref="D4"/>
    </sheetView>
  </sheetViews>
  <sheetFormatPr defaultRowHeight="15" x14ac:dyDescent="0.25"/>
  <cols>
    <col min="1" max="1" width="30.42578125" customWidth="1"/>
    <col min="2" max="2" width="44.28515625" customWidth="1"/>
    <col min="3" max="3" width="31" customWidth="1"/>
    <col min="4" max="4" width="16.85546875" bestFit="1" customWidth="1"/>
  </cols>
  <sheetData>
    <row r="1" spans="1:4" ht="39.75" thickBot="1" x14ac:dyDescent="0.3">
      <c r="A1" s="11" t="s">
        <v>8</v>
      </c>
      <c r="B1" s="11"/>
      <c r="C1" s="11"/>
      <c r="D1" s="11"/>
    </row>
    <row r="2" spans="1:4" ht="18.75" thickTop="1" thickBot="1" x14ac:dyDescent="0.35">
      <c r="A2" s="1" t="s">
        <v>1</v>
      </c>
      <c r="B2" s="1" t="s">
        <v>31</v>
      </c>
      <c r="C2" s="1" t="s">
        <v>7</v>
      </c>
      <c r="D2" s="1" t="s">
        <v>2</v>
      </c>
    </row>
    <row r="3" spans="1:4" ht="16.5" thickTop="1" thickBot="1" x14ac:dyDescent="0.3">
      <c r="A3" s="2" t="s">
        <v>0</v>
      </c>
      <c r="B3" s="3" t="s">
        <v>3</v>
      </c>
      <c r="C3" s="4" t="s">
        <v>4</v>
      </c>
      <c r="D3" s="17">
        <v>43743</v>
      </c>
    </row>
    <row r="4" spans="1:4" ht="45.75" thickBot="1" x14ac:dyDescent="0.3">
      <c r="A4" s="5" t="s">
        <v>5</v>
      </c>
      <c r="B4" s="6" t="s">
        <v>22</v>
      </c>
      <c r="C4" s="240" t="s">
        <v>696</v>
      </c>
      <c r="D4" s="12">
        <f>WORKDAY(D3,-3,0)</f>
        <v>43740</v>
      </c>
    </row>
    <row r="5" spans="1:4" ht="46.5" customHeight="1" thickBot="1" x14ac:dyDescent="0.3">
      <c r="A5" s="5" t="s">
        <v>21</v>
      </c>
      <c r="B5" s="6" t="s">
        <v>9</v>
      </c>
      <c r="C5" s="2" t="s">
        <v>29</v>
      </c>
      <c r="D5" s="12">
        <f>WORKDAY($D$3,-7,0)</f>
        <v>43734</v>
      </c>
    </row>
    <row r="6" spans="1:4" ht="60.75" thickBot="1" x14ac:dyDescent="0.3">
      <c r="A6" s="5" t="s">
        <v>21</v>
      </c>
      <c r="B6" s="6" t="s">
        <v>23</v>
      </c>
      <c r="C6" s="5" t="s">
        <v>6</v>
      </c>
      <c r="D6" s="12">
        <f>WORKDAY(D3,-10,0)</f>
        <v>43731</v>
      </c>
    </row>
    <row r="7" spans="1:4" ht="15.75" thickBot="1" x14ac:dyDescent="0.3">
      <c r="A7" s="10" t="s">
        <v>21</v>
      </c>
      <c r="B7" s="8" t="s">
        <v>24</v>
      </c>
      <c r="C7" s="8" t="s">
        <v>28</v>
      </c>
      <c r="D7" s="9">
        <f>WORKDAY(D3,-20,0)</f>
        <v>43717</v>
      </c>
    </row>
    <row r="8" spans="1:4" x14ac:dyDescent="0.25">
      <c r="D8" s="7"/>
    </row>
  </sheetData>
  <pageMargins left="0.2" right="0.2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43" workbookViewId="0">
      <selection activeCell="J44" sqref="J44"/>
    </sheetView>
  </sheetViews>
  <sheetFormatPr defaultRowHeight="15" x14ac:dyDescent="0.25"/>
  <cols>
    <col min="2" max="2" width="57.42578125" bestFit="1" customWidth="1"/>
    <col min="3" max="3" width="12.28515625" style="13" bestFit="1" customWidth="1"/>
    <col min="4" max="4" width="19.28515625" style="13" bestFit="1" customWidth="1"/>
    <col min="5" max="5" width="14.5703125" style="13" bestFit="1" customWidth="1"/>
    <col min="6" max="6" width="20.140625" style="13" customWidth="1"/>
    <col min="7" max="7" width="16.140625" customWidth="1"/>
  </cols>
  <sheetData>
    <row r="1" spans="1:7" ht="17.25" x14ac:dyDescent="0.3">
      <c r="A1" s="47" t="s">
        <v>65</v>
      </c>
      <c r="B1" s="48" t="s">
        <v>13</v>
      </c>
      <c r="C1" s="49" t="s">
        <v>58</v>
      </c>
      <c r="D1" s="49" t="s">
        <v>63</v>
      </c>
      <c r="E1" s="49" t="s">
        <v>15</v>
      </c>
      <c r="F1" s="50" t="s">
        <v>64</v>
      </c>
    </row>
    <row r="2" spans="1:7" ht="32.25" customHeight="1" x14ac:dyDescent="0.25">
      <c r="A2" s="46"/>
      <c r="B2" s="23" t="s">
        <v>66</v>
      </c>
      <c r="C2" s="19"/>
      <c r="D2" s="18" t="s">
        <v>20</v>
      </c>
      <c r="E2" s="14" t="s">
        <v>25</v>
      </c>
      <c r="F2" s="34" t="s">
        <v>30</v>
      </c>
    </row>
    <row r="3" spans="1:7" ht="5.0999999999999996" customHeight="1" x14ac:dyDescent="0.25">
      <c r="A3" s="33"/>
      <c r="B3" s="39"/>
      <c r="C3" s="40"/>
      <c r="D3" s="41"/>
      <c r="E3" s="42"/>
      <c r="F3" s="43"/>
    </row>
    <row r="4" spans="1:7" ht="24.95" customHeight="1" x14ac:dyDescent="0.25">
      <c r="A4" s="31"/>
      <c r="B4" s="21" t="s">
        <v>32</v>
      </c>
      <c r="C4" s="35" t="s">
        <v>60</v>
      </c>
      <c r="D4" s="36">
        <f>Timeline!$D$6</f>
        <v>43731</v>
      </c>
      <c r="E4" s="14" t="s">
        <v>25</v>
      </c>
      <c r="F4" s="64" t="s">
        <v>16</v>
      </c>
    </row>
    <row r="5" spans="1:7" ht="24.95" customHeight="1" x14ac:dyDescent="0.25">
      <c r="A5" s="31"/>
      <c r="B5" s="52" t="s">
        <v>10</v>
      </c>
      <c r="C5" s="19"/>
      <c r="D5" s="36">
        <f>Timeline!$D$6</f>
        <v>43731</v>
      </c>
      <c r="E5" s="14" t="s">
        <v>25</v>
      </c>
      <c r="F5" s="64"/>
    </row>
    <row r="6" spans="1:7" ht="30.75" customHeight="1" x14ac:dyDescent="0.25">
      <c r="A6" s="31"/>
      <c r="B6" s="37" t="s">
        <v>27</v>
      </c>
      <c r="C6" s="19"/>
      <c r="D6" s="18">
        <f>Timeline!$D$6</f>
        <v>43731</v>
      </c>
      <c r="E6" s="14" t="s">
        <v>25</v>
      </c>
      <c r="F6" s="64"/>
    </row>
    <row r="7" spans="1:7" ht="30.75" customHeight="1" x14ac:dyDescent="0.25">
      <c r="A7" s="31"/>
      <c r="B7" s="51" t="s">
        <v>69</v>
      </c>
      <c r="C7" s="35"/>
      <c r="D7" s="36">
        <f>Timeline!$D$6</f>
        <v>43731</v>
      </c>
      <c r="E7" s="14" t="s">
        <v>25</v>
      </c>
      <c r="F7" s="64"/>
    </row>
    <row r="8" spans="1:7" ht="5.0999999999999996" customHeight="1" x14ac:dyDescent="0.25">
      <c r="A8" s="33"/>
      <c r="B8" s="44"/>
      <c r="C8" s="40"/>
      <c r="D8" s="41"/>
      <c r="E8" s="42"/>
      <c r="F8" s="45"/>
    </row>
    <row r="9" spans="1:7" ht="24.95" customHeight="1" x14ac:dyDescent="0.25">
      <c r="A9" s="31"/>
      <c r="B9" s="37" t="s">
        <v>11</v>
      </c>
      <c r="C9" s="19"/>
      <c r="D9" s="36">
        <f>Timeline!$D$5</f>
        <v>43734</v>
      </c>
      <c r="E9" s="14" t="s">
        <v>25</v>
      </c>
      <c r="F9" s="38"/>
    </row>
    <row r="10" spans="1:7" ht="24.95" customHeight="1" x14ac:dyDescent="0.25">
      <c r="A10" s="31"/>
      <c r="B10" s="21" t="s">
        <v>614</v>
      </c>
      <c r="C10" s="19">
        <v>3</v>
      </c>
      <c r="D10" s="36">
        <f>Timeline!$D$5</f>
        <v>43734</v>
      </c>
      <c r="E10" s="14" t="s">
        <v>25</v>
      </c>
      <c r="F10" s="38"/>
      <c r="G10" s="13"/>
    </row>
    <row r="11" spans="1:7" ht="24.95" customHeight="1" x14ac:dyDescent="0.25">
      <c r="A11" s="31"/>
      <c r="B11" s="21" t="s">
        <v>38</v>
      </c>
      <c r="C11" s="19"/>
      <c r="D11" s="18">
        <f>Timeline!$D$5</f>
        <v>43734</v>
      </c>
      <c r="E11" s="14" t="s">
        <v>25</v>
      </c>
      <c r="F11" s="34"/>
    </row>
    <row r="12" spans="1:7" ht="33" hidden="1" customHeight="1" x14ac:dyDescent="0.25">
      <c r="A12" s="31"/>
      <c r="B12" s="23" t="s">
        <v>68</v>
      </c>
      <c r="C12" s="19">
        <v>1</v>
      </c>
      <c r="D12" s="18">
        <f>Timeline!$D$5</f>
        <v>43734</v>
      </c>
      <c r="E12" s="14" t="s">
        <v>25</v>
      </c>
      <c r="F12" s="34"/>
    </row>
    <row r="13" spans="1:7" ht="24.95" hidden="1" customHeight="1" x14ac:dyDescent="0.25">
      <c r="A13" s="31"/>
      <c r="B13" s="21" t="s">
        <v>39</v>
      </c>
      <c r="C13" s="19"/>
      <c r="D13" s="18">
        <f>Timeline!$D$5</f>
        <v>43734</v>
      </c>
      <c r="E13" s="14" t="s">
        <v>25</v>
      </c>
      <c r="F13" s="34"/>
    </row>
    <row r="14" spans="1:7" ht="24.95" customHeight="1" x14ac:dyDescent="0.25">
      <c r="A14" s="31"/>
      <c r="B14" s="21" t="s">
        <v>12</v>
      </c>
      <c r="C14" s="19" t="s">
        <v>59</v>
      </c>
      <c r="D14" s="18">
        <f>Timeline!$D$5</f>
        <v>43734</v>
      </c>
      <c r="E14" s="14" t="s">
        <v>25</v>
      </c>
      <c r="F14" s="34"/>
    </row>
    <row r="15" spans="1:7" ht="24.95" customHeight="1" x14ac:dyDescent="0.25">
      <c r="A15" s="31"/>
      <c r="B15" s="21" t="s">
        <v>33</v>
      </c>
      <c r="C15" s="19"/>
      <c r="D15" s="36">
        <f>Timeline!$D$5</f>
        <v>43734</v>
      </c>
      <c r="E15" s="14" t="s">
        <v>25</v>
      </c>
      <c r="F15" s="34"/>
    </row>
    <row r="16" spans="1:7" ht="24.95" customHeight="1" x14ac:dyDescent="0.25">
      <c r="A16" s="31"/>
      <c r="B16" s="21" t="s">
        <v>34</v>
      </c>
      <c r="C16" s="19"/>
      <c r="D16" s="18">
        <f>Timeline!$D$5</f>
        <v>43734</v>
      </c>
      <c r="E16" s="14" t="s">
        <v>25</v>
      </c>
      <c r="F16" s="34"/>
    </row>
    <row r="17" spans="1:6" ht="24.95" customHeight="1" x14ac:dyDescent="0.25">
      <c r="A17" s="31"/>
      <c r="B17" s="21" t="s">
        <v>35</v>
      </c>
      <c r="C17" s="19"/>
      <c r="D17" s="18">
        <f>Timeline!$D$5</f>
        <v>43734</v>
      </c>
      <c r="E17" s="14" t="s">
        <v>25</v>
      </c>
      <c r="F17" s="34"/>
    </row>
    <row r="18" spans="1:6" ht="24.95" customHeight="1" x14ac:dyDescent="0.25">
      <c r="A18" s="33"/>
      <c r="B18" s="58" t="s">
        <v>110</v>
      </c>
      <c r="C18" s="54"/>
      <c r="D18" s="55"/>
      <c r="E18" s="56"/>
      <c r="F18" s="65"/>
    </row>
    <row r="19" spans="1:6" ht="24.95" customHeight="1" x14ac:dyDescent="0.25">
      <c r="A19" s="31"/>
      <c r="B19" s="59" t="s">
        <v>615</v>
      </c>
      <c r="C19" s="54"/>
      <c r="D19" s="55">
        <f>Timeline!$D$5</f>
        <v>43734</v>
      </c>
      <c r="E19" s="56" t="s">
        <v>25</v>
      </c>
      <c r="F19" s="65"/>
    </row>
    <row r="20" spans="1:6" ht="24.95" hidden="1" customHeight="1" x14ac:dyDescent="0.25">
      <c r="A20" s="31"/>
      <c r="B20" s="53" t="s">
        <v>47</v>
      </c>
      <c r="C20" s="57"/>
      <c r="D20" s="55">
        <f>Timeline!$D$5</f>
        <v>43734</v>
      </c>
      <c r="E20" s="56" t="s">
        <v>25</v>
      </c>
      <c r="F20" s="65"/>
    </row>
    <row r="21" spans="1:6" ht="24.95" hidden="1" customHeight="1" x14ac:dyDescent="0.25">
      <c r="A21" s="31"/>
      <c r="B21" s="53" t="s">
        <v>48</v>
      </c>
      <c r="C21" s="57"/>
      <c r="D21" s="55">
        <f>Timeline!$D$5</f>
        <v>43734</v>
      </c>
      <c r="E21" s="56" t="s">
        <v>25</v>
      </c>
      <c r="F21" s="65"/>
    </row>
    <row r="22" spans="1:6" ht="24.95" hidden="1" customHeight="1" x14ac:dyDescent="0.25">
      <c r="A22" s="31"/>
      <c r="B22" s="53" t="s">
        <v>49</v>
      </c>
      <c r="C22" s="57"/>
      <c r="D22" s="55">
        <f>Timeline!$D$5</f>
        <v>43734</v>
      </c>
      <c r="E22" s="56" t="s">
        <v>25</v>
      </c>
      <c r="F22" s="65"/>
    </row>
    <row r="23" spans="1:6" ht="24.95" hidden="1" customHeight="1" x14ac:dyDescent="0.25">
      <c r="A23" s="31"/>
      <c r="B23" s="53" t="s">
        <v>50</v>
      </c>
      <c r="C23" s="57"/>
      <c r="D23" s="55">
        <f>Timeline!$D$5</f>
        <v>43734</v>
      </c>
      <c r="E23" s="56" t="s">
        <v>25</v>
      </c>
      <c r="F23" s="65"/>
    </row>
    <row r="24" spans="1:6" ht="24.95" hidden="1" customHeight="1" x14ac:dyDescent="0.25">
      <c r="A24" s="31"/>
      <c r="B24" s="53" t="s">
        <v>51</v>
      </c>
      <c r="C24" s="57"/>
      <c r="D24" s="55">
        <f>Timeline!$D$5</f>
        <v>43734</v>
      </c>
      <c r="E24" s="56" t="s">
        <v>25</v>
      </c>
      <c r="F24" s="65"/>
    </row>
    <row r="25" spans="1:6" ht="24.95" hidden="1" customHeight="1" x14ac:dyDescent="0.25">
      <c r="A25" s="31"/>
      <c r="B25" s="53" t="s">
        <v>52</v>
      </c>
      <c r="C25" s="57"/>
      <c r="D25" s="55">
        <f>Timeline!$D$5</f>
        <v>43734</v>
      </c>
      <c r="E25" s="56" t="s">
        <v>25</v>
      </c>
      <c r="F25" s="65"/>
    </row>
    <row r="26" spans="1:6" ht="24.95" hidden="1" customHeight="1" x14ac:dyDescent="0.25">
      <c r="A26" s="31"/>
      <c r="B26" s="53" t="s">
        <v>53</v>
      </c>
      <c r="C26" s="57"/>
      <c r="D26" s="55">
        <f>Timeline!$D$5</f>
        <v>43734</v>
      </c>
      <c r="E26" s="56" t="s">
        <v>25</v>
      </c>
      <c r="F26" s="65"/>
    </row>
    <row r="27" spans="1:6" ht="24.95" hidden="1" customHeight="1" x14ac:dyDescent="0.25">
      <c r="A27" s="31"/>
      <c r="B27" s="53" t="s">
        <v>44</v>
      </c>
      <c r="C27" s="57"/>
      <c r="D27" s="55">
        <f>Timeline!$D$5</f>
        <v>43734</v>
      </c>
      <c r="E27" s="56" t="s">
        <v>25</v>
      </c>
      <c r="F27" s="65"/>
    </row>
    <row r="28" spans="1:6" ht="24.95" hidden="1" customHeight="1" x14ac:dyDescent="0.25">
      <c r="A28" s="31"/>
      <c r="B28" s="53" t="s">
        <v>45</v>
      </c>
      <c r="C28" s="57"/>
      <c r="D28" s="55">
        <f>Timeline!$D$5</f>
        <v>43734</v>
      </c>
      <c r="E28" s="56" t="s">
        <v>25</v>
      </c>
      <c r="F28" s="65"/>
    </row>
    <row r="29" spans="1:6" ht="24.95" hidden="1" customHeight="1" x14ac:dyDescent="0.25">
      <c r="A29" s="31"/>
      <c r="B29" s="59" t="s">
        <v>54</v>
      </c>
      <c r="C29" s="57"/>
      <c r="D29" s="55">
        <f>Timeline!$D$5</f>
        <v>43734</v>
      </c>
      <c r="E29" s="56" t="s">
        <v>25</v>
      </c>
      <c r="F29" s="65"/>
    </row>
    <row r="30" spans="1:6" ht="24.95" hidden="1" customHeight="1" x14ac:dyDescent="0.25">
      <c r="A30" s="31"/>
      <c r="B30" s="53" t="s">
        <v>46</v>
      </c>
      <c r="C30" s="57"/>
      <c r="D30" s="55">
        <f>Timeline!$D$5</f>
        <v>43734</v>
      </c>
      <c r="E30" s="56" t="s">
        <v>25</v>
      </c>
      <c r="F30" s="65"/>
    </row>
    <row r="31" spans="1:6" ht="24.95" customHeight="1" x14ac:dyDescent="0.25">
      <c r="A31" s="31"/>
      <c r="B31" s="21" t="s">
        <v>40</v>
      </c>
      <c r="C31" s="19"/>
      <c r="D31" s="18">
        <f>Timeline!$D$5</f>
        <v>43734</v>
      </c>
      <c r="E31" s="14" t="s">
        <v>25</v>
      </c>
      <c r="F31" s="20"/>
    </row>
    <row r="32" spans="1:6" ht="24.95" customHeight="1" x14ac:dyDescent="0.25">
      <c r="A32" s="31"/>
      <c r="B32" s="21" t="s">
        <v>42</v>
      </c>
      <c r="C32" s="19"/>
      <c r="D32" s="18">
        <f>Timeline!$D$5</f>
        <v>43734</v>
      </c>
      <c r="E32" s="14" t="s">
        <v>25</v>
      </c>
      <c r="F32" s="20"/>
    </row>
    <row r="33" spans="1:6" ht="24.95" customHeight="1" x14ac:dyDescent="0.25">
      <c r="A33" s="31"/>
      <c r="B33" s="21" t="s">
        <v>608</v>
      </c>
      <c r="C33" s="35"/>
      <c r="D33" s="36">
        <f>Timeline!$D$5</f>
        <v>43734</v>
      </c>
      <c r="E33" s="14" t="s">
        <v>25</v>
      </c>
      <c r="F33" s="20"/>
    </row>
    <row r="34" spans="1:6" ht="24.95" customHeight="1" x14ac:dyDescent="0.25">
      <c r="A34" s="31"/>
      <c r="B34" s="21" t="s">
        <v>609</v>
      </c>
      <c r="C34" s="35"/>
      <c r="D34" s="36">
        <f>Timeline!$D$5</f>
        <v>43734</v>
      </c>
      <c r="E34" s="14" t="s">
        <v>25</v>
      </c>
      <c r="F34" s="20"/>
    </row>
    <row r="35" spans="1:6" ht="24.95" customHeight="1" x14ac:dyDescent="0.25">
      <c r="A35" s="31"/>
      <c r="B35" s="21" t="s">
        <v>610</v>
      </c>
      <c r="C35" s="35"/>
      <c r="D35" s="36">
        <f>Timeline!$D$5</f>
        <v>43734</v>
      </c>
      <c r="E35" s="14" t="s">
        <v>25</v>
      </c>
      <c r="F35" s="20"/>
    </row>
    <row r="36" spans="1:6" ht="24.95" customHeight="1" x14ac:dyDescent="0.25">
      <c r="A36" s="31"/>
      <c r="B36" s="21" t="s">
        <v>611</v>
      </c>
      <c r="C36" s="35"/>
      <c r="D36" s="36">
        <f>Timeline!$D$5</f>
        <v>43734</v>
      </c>
      <c r="E36" s="14" t="s">
        <v>25</v>
      </c>
      <c r="F36" s="20"/>
    </row>
    <row r="37" spans="1:6" ht="24.95" customHeight="1" x14ac:dyDescent="0.25">
      <c r="A37" s="31"/>
      <c r="B37" s="21" t="s">
        <v>43</v>
      </c>
      <c r="C37" s="19"/>
      <c r="D37" s="18">
        <f>Timeline!$D$5</f>
        <v>43734</v>
      </c>
      <c r="E37" s="14" t="s">
        <v>25</v>
      </c>
      <c r="F37" s="20"/>
    </row>
    <row r="38" spans="1:6" ht="24.95" customHeight="1" x14ac:dyDescent="0.25">
      <c r="A38" s="31"/>
      <c r="B38" s="21" t="s">
        <v>612</v>
      </c>
      <c r="C38" s="35"/>
      <c r="D38" s="36">
        <f>Timeline!$D$5</f>
        <v>43734</v>
      </c>
      <c r="E38" s="14" t="s">
        <v>25</v>
      </c>
      <c r="F38" s="20"/>
    </row>
    <row r="39" spans="1:6" ht="24.95" customHeight="1" x14ac:dyDescent="0.25">
      <c r="A39" s="31"/>
      <c r="B39" s="21" t="s">
        <v>613</v>
      </c>
      <c r="C39" s="35"/>
      <c r="D39" s="36">
        <f>Timeline!$D$5</f>
        <v>43734</v>
      </c>
      <c r="E39" s="14" t="s">
        <v>25</v>
      </c>
      <c r="F39" s="20"/>
    </row>
    <row r="40" spans="1:6" ht="24.95" customHeight="1" x14ac:dyDescent="0.25">
      <c r="A40" s="31"/>
      <c r="B40" s="21" t="s">
        <v>67</v>
      </c>
      <c r="C40" s="19"/>
      <c r="D40" s="18">
        <f>Timeline!$D$5</f>
        <v>43734</v>
      </c>
      <c r="E40" s="14" t="s">
        <v>25</v>
      </c>
      <c r="F40" s="20"/>
    </row>
    <row r="41" spans="1:6" ht="24.95" customHeight="1" x14ac:dyDescent="0.25">
      <c r="A41" s="31"/>
      <c r="B41" s="52" t="s">
        <v>55</v>
      </c>
      <c r="C41" s="19"/>
      <c r="D41" s="18">
        <f>Timeline!$D$5</f>
        <v>43734</v>
      </c>
      <c r="E41" s="14" t="s">
        <v>25</v>
      </c>
      <c r="F41" s="20"/>
    </row>
    <row r="42" spans="1:6" ht="45" x14ac:dyDescent="0.25">
      <c r="A42" s="31"/>
      <c r="B42" s="24" t="s">
        <v>41</v>
      </c>
      <c r="C42" s="14"/>
      <c r="D42" s="18">
        <f>Timeline!$D$5</f>
        <v>43734</v>
      </c>
      <c r="E42" s="14" t="s">
        <v>25</v>
      </c>
      <c r="F42" s="20"/>
    </row>
    <row r="43" spans="1:6" ht="24.95" customHeight="1" x14ac:dyDescent="0.25">
      <c r="A43" s="31"/>
      <c r="B43" s="21" t="s">
        <v>14</v>
      </c>
      <c r="C43" s="19"/>
      <c r="D43" s="18">
        <f>Timeline!D5</f>
        <v>43734</v>
      </c>
      <c r="E43" s="14" t="s">
        <v>25</v>
      </c>
      <c r="F43" s="20"/>
    </row>
    <row r="44" spans="1:6" ht="24.95" customHeight="1" x14ac:dyDescent="0.25">
      <c r="A44" s="31"/>
      <c r="B44" s="52" t="s">
        <v>57</v>
      </c>
      <c r="C44" s="19"/>
      <c r="D44" s="18">
        <f>Timeline!D6</f>
        <v>43731</v>
      </c>
      <c r="E44" s="14" t="s">
        <v>25</v>
      </c>
      <c r="F44" s="22"/>
    </row>
    <row r="45" spans="1:6" ht="24.95" customHeight="1" x14ac:dyDescent="0.25">
      <c r="A45" s="31"/>
      <c r="B45" s="21" t="s">
        <v>36</v>
      </c>
      <c r="C45" s="19" t="s">
        <v>61</v>
      </c>
      <c r="D45" s="36">
        <f>Timeline!$D$5</f>
        <v>43734</v>
      </c>
      <c r="E45" s="14" t="s">
        <v>25</v>
      </c>
      <c r="F45" s="20"/>
    </row>
    <row r="46" spans="1:6" ht="24.95" customHeight="1" x14ac:dyDescent="0.25">
      <c r="A46" s="31"/>
      <c r="B46" s="21" t="s">
        <v>37</v>
      </c>
      <c r="C46" s="19">
        <v>1</v>
      </c>
      <c r="D46" s="36">
        <f>Timeline!$D$5</f>
        <v>43734</v>
      </c>
      <c r="E46" s="14" t="s">
        <v>25</v>
      </c>
      <c r="F46" s="20"/>
    </row>
    <row r="47" spans="1:6" ht="24.95" customHeight="1" x14ac:dyDescent="0.25">
      <c r="A47" s="31"/>
      <c r="B47" s="29" t="s">
        <v>17</v>
      </c>
      <c r="C47" s="26"/>
      <c r="D47" s="27">
        <f>Timeline!$D$4</f>
        <v>43740</v>
      </c>
      <c r="E47" s="26" t="s">
        <v>56</v>
      </c>
      <c r="F47" s="60" t="s">
        <v>19</v>
      </c>
    </row>
    <row r="48" spans="1:6" ht="24.95" customHeight="1" x14ac:dyDescent="0.25">
      <c r="A48" s="31"/>
      <c r="B48" s="21" t="s">
        <v>18</v>
      </c>
      <c r="C48" s="19"/>
      <c r="D48" s="18" t="str">
        <f>TEXT(D47,"m/d/yyyy")&amp;" - "&amp;TEXT(D49,"m/d/yyyy")</f>
        <v>10/2/2019 - 10/5/2019</v>
      </c>
      <c r="E48" s="19"/>
      <c r="F48" s="20"/>
    </row>
    <row r="49" spans="1:6" ht="24.95" customHeight="1" thickBot="1" x14ac:dyDescent="0.3">
      <c r="A49" s="32"/>
      <c r="B49" s="25" t="s">
        <v>26</v>
      </c>
      <c r="C49" s="16"/>
      <c r="D49" s="15">
        <f>Timeline!D3</f>
        <v>43743</v>
      </c>
      <c r="E49" s="16"/>
      <c r="F49" s="28"/>
    </row>
    <row r="50" spans="1:6" x14ac:dyDescent="0.25">
      <c r="B50" s="30" t="s">
        <v>62</v>
      </c>
    </row>
  </sheetData>
  <mergeCells count="2">
    <mergeCell ref="F4:F7"/>
    <mergeCell ref="F18:F30"/>
  </mergeCells>
  <hyperlinks>
    <hyperlink ref="B6" r:id="rId1"/>
    <hyperlink ref="B18" r:id="rId2" display="Human Subjects = YES; provide the documents listed below:"/>
    <hyperlink ref="B9" r:id="rId3"/>
  </hyperlinks>
  <printOptions horizontalCentered="1"/>
  <pageMargins left="0.5" right="0.5" top="1" bottom="0.5" header="0" footer="0"/>
  <pageSetup scale="72" orientation="portrait" r:id="rId4"/>
  <drawing r:id="rId5"/>
  <legacyDrawing r:id="rId6"/>
  <oleObjects>
    <mc:AlternateContent xmlns:mc="http://schemas.openxmlformats.org/markup-compatibility/2006">
      <mc:Choice Requires="x14">
        <oleObject progId="Document" dvAspect="DVASPECT_ICON" shapeId="2055" r:id="rId7">
          <objectPr defaultSize="0" autoPict="0" r:id="rId8">
            <anchor moveWithCells="1">
              <from>
                <xdr:col>2</xdr:col>
                <xdr:colOff>38100</xdr:colOff>
                <xdr:row>40</xdr:row>
                <xdr:rowOff>19050</xdr:rowOff>
              </from>
              <to>
                <xdr:col>2</xdr:col>
                <xdr:colOff>790575</xdr:colOff>
                <xdr:row>41</xdr:row>
                <xdr:rowOff>266700</xdr:rowOff>
              </to>
            </anchor>
          </objectPr>
        </oleObject>
      </mc:Choice>
      <mc:Fallback>
        <oleObject progId="Document" dvAspect="DVASPECT_ICON" shapeId="2055" r:id="rId7"/>
      </mc:Fallback>
    </mc:AlternateContent>
    <mc:AlternateContent xmlns:mc="http://schemas.openxmlformats.org/markup-compatibility/2006">
      <mc:Choice Requires="x14">
        <oleObject progId="Acrobat Document" dvAspect="DVASPECT_ICON" shapeId="2056" r:id="rId9">
          <objectPr defaultSize="0" autoPict="0" r:id="rId10">
            <anchor moveWithCells="1">
              <from>
                <xdr:col>2</xdr:col>
                <xdr:colOff>19050</xdr:colOff>
                <xdr:row>43</xdr:row>
                <xdr:rowOff>28575</xdr:rowOff>
              </from>
              <to>
                <xdr:col>2</xdr:col>
                <xdr:colOff>790575</xdr:colOff>
                <xdr:row>44</xdr:row>
                <xdr:rowOff>295275</xdr:rowOff>
              </to>
            </anchor>
          </objectPr>
        </oleObject>
      </mc:Choice>
      <mc:Fallback>
        <oleObject progId="Acrobat Document" dvAspect="DVASPECT_ICON" shapeId="2056" r:id="rId9"/>
      </mc:Fallback>
    </mc:AlternateContent>
    <mc:AlternateContent xmlns:mc="http://schemas.openxmlformats.org/markup-compatibility/2006">
      <mc:Choice Requires="x14">
        <oleObject progId="Document" dvAspect="DVASPECT_ICON" shapeId="2057" r:id="rId11">
          <objectPr defaultSize="0" autoPict="0" r:id="rId8">
            <anchor moveWithCells="1">
              <from>
                <xdr:col>2</xdr:col>
                <xdr:colOff>28575</xdr:colOff>
                <xdr:row>6</xdr:row>
                <xdr:rowOff>28575</xdr:rowOff>
              </from>
              <to>
                <xdr:col>2</xdr:col>
                <xdr:colOff>790575</xdr:colOff>
                <xdr:row>8</xdr:row>
                <xdr:rowOff>152400</xdr:rowOff>
              </to>
            </anchor>
          </objectPr>
        </oleObject>
      </mc:Choice>
      <mc:Fallback>
        <oleObject progId="Document" dvAspect="DVASPECT_ICON" shapeId="2057" r:id="rId1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4"/>
  <sheetViews>
    <sheetView topLeftCell="A91" zoomScale="90" zoomScaleNormal="90" workbookViewId="0">
      <selection activeCell="A131" sqref="A131"/>
    </sheetView>
  </sheetViews>
  <sheetFormatPr defaultColWidth="8.85546875" defaultRowHeight="12.75" x14ac:dyDescent="0.2"/>
  <cols>
    <col min="1" max="1" width="53.5703125" style="69" bestFit="1" customWidth="1"/>
    <col min="2" max="2" width="10.42578125" style="67" customWidth="1"/>
    <col min="3" max="3" width="13.7109375" style="68" customWidth="1"/>
    <col min="4" max="4" width="10.7109375" style="69" customWidth="1"/>
    <col min="5" max="5" width="8" style="70" bestFit="1" customWidth="1"/>
    <col min="6" max="6" width="10.7109375" style="69" customWidth="1"/>
    <col min="7" max="7" width="8" style="70" bestFit="1" customWidth="1"/>
    <col min="8" max="8" width="10.7109375" style="71" customWidth="1"/>
    <col min="9" max="9" width="8" style="70" bestFit="1" customWidth="1"/>
    <col min="10" max="10" width="10.7109375" style="69" customWidth="1"/>
    <col min="11" max="11" width="8" style="70" bestFit="1" customWidth="1"/>
    <col min="12" max="12" width="10.7109375" style="69" customWidth="1"/>
    <col min="13" max="13" width="14.85546875" style="69" customWidth="1"/>
    <col min="14" max="14" width="11.28515625" style="71" bestFit="1" customWidth="1"/>
    <col min="15" max="15" width="10.28515625" style="69" bestFit="1" customWidth="1"/>
    <col min="16" max="16" width="25.5703125" style="69" customWidth="1"/>
    <col min="17" max="17" width="10.42578125" style="69" customWidth="1"/>
    <col min="18" max="18" width="11.140625" style="69" customWidth="1"/>
    <col min="19" max="19" width="11.28515625" style="69" bestFit="1" customWidth="1"/>
    <col min="20" max="20" width="10.7109375" style="69" bestFit="1" customWidth="1"/>
    <col min="21" max="21" width="11.28515625" style="69" bestFit="1" customWidth="1"/>
    <col min="22" max="23" width="10.7109375" style="69" bestFit="1" customWidth="1"/>
    <col min="24" max="24" width="8.85546875" style="69"/>
    <col min="25" max="25" width="9.85546875" style="69" bestFit="1" customWidth="1"/>
    <col min="26" max="16384" width="8.85546875" style="69"/>
  </cols>
  <sheetData>
    <row r="1" spans="1:23" x14ac:dyDescent="0.2">
      <c r="A1" s="66" t="s">
        <v>616</v>
      </c>
    </row>
    <row r="2" spans="1:23" x14ac:dyDescent="0.2">
      <c r="A2" s="66" t="s">
        <v>617</v>
      </c>
      <c r="D2" s="72"/>
      <c r="J2" s="72"/>
      <c r="Q2" s="73"/>
      <c r="R2" s="74" t="s">
        <v>618</v>
      </c>
      <c r="S2" s="75">
        <v>1.02</v>
      </c>
    </row>
    <row r="3" spans="1:23" ht="15" x14ac:dyDescent="0.25">
      <c r="A3" s="66" t="s">
        <v>619</v>
      </c>
      <c r="B3" s="72"/>
      <c r="D3" s="72"/>
      <c r="Q3" s="76"/>
      <c r="R3" s="76" t="s">
        <v>620</v>
      </c>
      <c r="S3" s="77">
        <v>192300</v>
      </c>
    </row>
    <row r="4" spans="1:23" x14ac:dyDescent="0.2">
      <c r="A4" s="66" t="s">
        <v>621</v>
      </c>
    </row>
    <row r="5" spans="1:23" x14ac:dyDescent="0.2">
      <c r="A5" s="66" t="s">
        <v>622</v>
      </c>
    </row>
    <row r="6" spans="1:23" x14ac:dyDescent="0.2">
      <c r="D6" s="78" t="s">
        <v>623</v>
      </c>
      <c r="E6" s="78"/>
      <c r="F6" s="78" t="s">
        <v>624</v>
      </c>
      <c r="G6" s="78"/>
      <c r="H6" s="79" t="s">
        <v>625</v>
      </c>
      <c r="I6" s="78"/>
      <c r="J6" s="79" t="s">
        <v>626</v>
      </c>
      <c r="K6" s="78"/>
      <c r="L6" s="79" t="s">
        <v>627</v>
      </c>
      <c r="M6" s="80" t="s">
        <v>628</v>
      </c>
      <c r="N6" s="81"/>
    </row>
    <row r="7" spans="1:23" ht="15" x14ac:dyDescent="0.25">
      <c r="D7" s="82">
        <v>43647</v>
      </c>
      <c r="E7" s="83"/>
      <c r="F7" s="84">
        <f>D8+1</f>
        <v>44013</v>
      </c>
      <c r="G7" s="83"/>
      <c r="H7" s="84">
        <f>F8+1</f>
        <v>44378</v>
      </c>
      <c r="I7" s="83"/>
      <c r="J7" s="84">
        <f>H8+1</f>
        <v>44743</v>
      </c>
      <c r="K7" s="83"/>
      <c r="L7" s="84">
        <f>J8+1</f>
        <v>45108</v>
      </c>
      <c r="M7" s="85"/>
      <c r="N7" s="86"/>
    </row>
    <row r="8" spans="1:23" ht="15" x14ac:dyDescent="0.25">
      <c r="A8" s="87" t="s">
        <v>629</v>
      </c>
      <c r="B8" s="88"/>
      <c r="C8" s="89" t="s">
        <v>630</v>
      </c>
      <c r="D8" s="90">
        <v>44012</v>
      </c>
      <c r="E8" s="91"/>
      <c r="F8" s="90">
        <f>F7+364</f>
        <v>44377</v>
      </c>
      <c r="G8" s="91"/>
      <c r="H8" s="90">
        <f>H7+364</f>
        <v>44742</v>
      </c>
      <c r="I8" s="91"/>
      <c r="J8" s="90">
        <f>J7+364</f>
        <v>45107</v>
      </c>
      <c r="K8" s="91"/>
      <c r="L8" s="90">
        <f>L7+365</f>
        <v>45473</v>
      </c>
      <c r="M8" s="85"/>
      <c r="N8" s="86"/>
      <c r="O8" s="92" t="s">
        <v>631</v>
      </c>
      <c r="P8" s="93"/>
      <c r="Q8" s="94"/>
      <c r="R8" s="94"/>
      <c r="S8" s="94"/>
      <c r="T8" s="93"/>
      <c r="U8" s="94"/>
      <c r="V8" s="94"/>
      <c r="W8" s="95"/>
    </row>
    <row r="9" spans="1:23" ht="26.25" thickBot="1" x14ac:dyDescent="0.25">
      <c r="B9" s="96" t="s">
        <v>632</v>
      </c>
      <c r="C9" s="97"/>
      <c r="D9" s="71"/>
      <c r="E9" s="98" t="s">
        <v>633</v>
      </c>
      <c r="F9" s="99"/>
      <c r="G9" s="98" t="s">
        <v>634</v>
      </c>
      <c r="H9" s="99"/>
      <c r="I9" s="98" t="s">
        <v>635</v>
      </c>
      <c r="J9" s="99"/>
      <c r="K9" s="98" t="s">
        <v>636</v>
      </c>
      <c r="L9" s="71"/>
      <c r="M9" s="71"/>
      <c r="O9" s="100"/>
      <c r="P9" s="101"/>
      <c r="Q9" s="102" t="s">
        <v>632</v>
      </c>
      <c r="R9" s="103" t="s">
        <v>630</v>
      </c>
      <c r="S9" s="104"/>
      <c r="T9" s="104"/>
      <c r="U9" s="104"/>
      <c r="V9" s="101"/>
      <c r="W9" s="105"/>
    </row>
    <row r="10" spans="1:23" ht="14.25" thickTop="1" thickBot="1" x14ac:dyDescent="0.25">
      <c r="A10" s="106" t="s">
        <v>637</v>
      </c>
      <c r="B10" s="107"/>
      <c r="C10" s="108"/>
      <c r="D10" s="109">
        <f>IF(M10&lt;=$S$3,M10,$S$3)</f>
        <v>0</v>
      </c>
      <c r="E10" s="110"/>
      <c r="F10" s="109">
        <f>IF((M10*$S$2)&lt;=$S$3,(M10*$S$2),$S$3)</f>
        <v>0</v>
      </c>
      <c r="G10" s="110"/>
      <c r="H10" s="109">
        <f>IF((M10*$S$2^2)&lt;=$S$3,(M10*$S$2^2),$S$3)</f>
        <v>0</v>
      </c>
      <c r="I10" s="110"/>
      <c r="J10" s="109">
        <f>IF((M10*$S$2^3)&lt;=$S$3,(M10*$S$2^3),$S$3)</f>
        <v>0</v>
      </c>
      <c r="K10" s="110"/>
      <c r="L10" s="109">
        <f>IF((M10*$S$2^4)&lt;=$S$3,(M10*$S$2^4),$S$3)</f>
        <v>0</v>
      </c>
      <c r="M10" s="111"/>
      <c r="N10" s="112"/>
      <c r="O10" s="113"/>
      <c r="P10" s="114" t="str">
        <f>A10</f>
        <v>Faculty/Professional</v>
      </c>
      <c r="Q10" s="104"/>
      <c r="R10" s="104"/>
      <c r="S10" s="115" t="s">
        <v>623</v>
      </c>
      <c r="T10" s="115" t="s">
        <v>624</v>
      </c>
      <c r="U10" s="115" t="s">
        <v>625</v>
      </c>
      <c r="V10" s="115" t="s">
        <v>626</v>
      </c>
      <c r="W10" s="116" t="s">
        <v>627</v>
      </c>
    </row>
    <row r="11" spans="1:23" ht="14.25" thickTop="1" thickBot="1" x14ac:dyDescent="0.25">
      <c r="A11" s="69" t="s">
        <v>638</v>
      </c>
      <c r="B11" s="117">
        <f>12*C11</f>
        <v>0</v>
      </c>
      <c r="C11" s="118">
        <v>0</v>
      </c>
      <c r="D11" s="119">
        <f>ROUNDUP(D10*$C$11,0)</f>
        <v>0</v>
      </c>
      <c r="E11" s="120">
        <f>C11</f>
        <v>0</v>
      </c>
      <c r="F11" s="119">
        <f>ROUNDUP(F10*$E$11,0)</f>
        <v>0</v>
      </c>
      <c r="G11" s="120">
        <f>C11</f>
        <v>0</v>
      </c>
      <c r="H11" s="119">
        <f>ROUNDUP(H10*$G$11,0)</f>
        <v>0</v>
      </c>
      <c r="I11" s="120">
        <f>C11</f>
        <v>0</v>
      </c>
      <c r="J11" s="119">
        <f>ROUNDUP(J10*$I$11,0)</f>
        <v>0</v>
      </c>
      <c r="K11" s="120">
        <f>C11</f>
        <v>0</v>
      </c>
      <c r="L11" s="119">
        <f>ROUNDUP(L10*$K$11,0)</f>
        <v>0</v>
      </c>
      <c r="M11" s="121"/>
      <c r="N11" s="121"/>
      <c r="O11" s="122"/>
      <c r="P11" s="123" t="s">
        <v>639</v>
      </c>
      <c r="Q11" s="124">
        <f>12*R11</f>
        <v>0</v>
      </c>
      <c r="R11" s="125">
        <v>0</v>
      </c>
      <c r="S11" s="126">
        <f>ROUNDUP(IF($M$10&gt;$S$3,(($M$10-$S$3)*$C$11)+(($M$10-$S$3)*$C$14),0)+($D$10*$R$11),0)</f>
        <v>0</v>
      </c>
      <c r="T11" s="126">
        <f>ROUNDUP(IF(($M$10*$S$2)&gt;$S$3,((($M$10*$S$2)-$S$3)*$E$11)+((($M$10*$S$2)-$S$3)*$E$14),0)+($F$10*$R$11),0)</f>
        <v>0</v>
      </c>
      <c r="U11" s="126">
        <f>ROUNDUP(IF(($M$10*$S$2^2)&gt;$S$3,((($M$10*$S$2^2)-$S$3)*$G$11)+((($M$10*$S$2^2)-$S$3)*$G$14),0)+($H$10*$R$11),0)</f>
        <v>0</v>
      </c>
      <c r="V11" s="126">
        <f>ROUNDUP(IF(($M$10*S2^3)&gt;$S$3,((($M$10*S2^3)-$S$3)*$I$11)+((($M$10*S2^3)-$S$3)*$I$14),0)+($J$10*$R$11),0)</f>
        <v>0</v>
      </c>
      <c r="W11" s="127">
        <f>ROUNDUP(IF(($M$10*S2^4)&gt;$S$3,((($M$10*S2^4)-$S$3)*$K$11)+((($M$10*S2^4)-$S$3)*$K$14),0)+($L$10*$R$11),0)</f>
        <v>0</v>
      </c>
    </row>
    <row r="12" spans="1:23" ht="13.5" thickTop="1" x14ac:dyDescent="0.2">
      <c r="A12" s="128" t="s">
        <v>640</v>
      </c>
      <c r="B12" s="107"/>
      <c r="C12" s="129"/>
      <c r="D12" s="119">
        <f>ROUND(D11*$B$131,0)</f>
        <v>0</v>
      </c>
      <c r="E12" s="130"/>
      <c r="F12" s="119">
        <f>ROUND(F11*$B$131,0)</f>
        <v>0</v>
      </c>
      <c r="G12" s="130"/>
      <c r="H12" s="119">
        <f>ROUND(H11*$B$131,0)</f>
        <v>0</v>
      </c>
      <c r="I12" s="130"/>
      <c r="J12" s="119">
        <f>ROUND(J11*$B$131,0)</f>
        <v>0</v>
      </c>
      <c r="K12" s="130"/>
      <c r="L12" s="119">
        <f>ROUND(L11*$B$131,0)</f>
        <v>0</v>
      </c>
      <c r="M12" s="121"/>
      <c r="N12" s="121"/>
      <c r="O12" s="122"/>
      <c r="P12" s="123" t="s">
        <v>640</v>
      </c>
      <c r="Q12" s="131"/>
      <c r="R12" s="131"/>
      <c r="S12" s="132">
        <f>S11*$B$131</f>
        <v>0</v>
      </c>
      <c r="T12" s="132">
        <f>T11*$B$131</f>
        <v>0</v>
      </c>
      <c r="U12" s="132">
        <f>U11*$B$131</f>
        <v>0</v>
      </c>
      <c r="V12" s="132">
        <f>V11*$B$131</f>
        <v>0</v>
      </c>
      <c r="W12" s="133">
        <f>W11*$B$131</f>
        <v>0</v>
      </c>
    </row>
    <row r="13" spans="1:23" ht="13.5" thickBot="1" x14ac:dyDescent="0.25">
      <c r="A13" s="128"/>
      <c r="B13" s="107"/>
      <c r="C13" s="129"/>
      <c r="D13" s="119"/>
      <c r="E13" s="130"/>
      <c r="F13" s="119"/>
      <c r="G13" s="130"/>
      <c r="H13" s="119"/>
      <c r="I13" s="130"/>
      <c r="J13" s="119"/>
      <c r="K13" s="130"/>
      <c r="L13" s="119"/>
      <c r="M13" s="121"/>
      <c r="N13" s="121"/>
      <c r="O13" s="134"/>
      <c r="P13" s="101"/>
      <c r="Q13" s="101"/>
      <c r="R13" s="101"/>
      <c r="S13" s="126">
        <f>SUM(S11:S12)</f>
        <v>0</v>
      </c>
      <c r="T13" s="126">
        <f t="shared" ref="T13:W13" si="0">SUM(T11:T12)</f>
        <v>0</v>
      </c>
      <c r="U13" s="126">
        <f t="shared" si="0"/>
        <v>0</v>
      </c>
      <c r="V13" s="126">
        <f t="shared" si="0"/>
        <v>0</v>
      </c>
      <c r="W13" s="127">
        <f t="shared" si="0"/>
        <v>0</v>
      </c>
    </row>
    <row r="14" spans="1:23" ht="14.25" thickTop="1" thickBot="1" x14ac:dyDescent="0.25">
      <c r="A14" s="128" t="s">
        <v>641</v>
      </c>
      <c r="B14" s="117">
        <f>12*C14</f>
        <v>0</v>
      </c>
      <c r="C14" s="118">
        <v>0</v>
      </c>
      <c r="D14" s="119">
        <f>ROUNDUP(D10*$C$14,0)</f>
        <v>0</v>
      </c>
      <c r="E14" s="120">
        <f>$C$14</f>
        <v>0</v>
      </c>
      <c r="F14" s="119">
        <f>ROUNDUP(F10*$E$14,0)</f>
        <v>0</v>
      </c>
      <c r="G14" s="120">
        <f>$C$14</f>
        <v>0</v>
      </c>
      <c r="H14" s="119">
        <f>ROUNDUP(H10*$G$14,0)</f>
        <v>0</v>
      </c>
      <c r="I14" s="120">
        <f>$C$14</f>
        <v>0</v>
      </c>
      <c r="J14" s="119">
        <f>ROUNDUP(J10*$I$14,0)</f>
        <v>0</v>
      </c>
      <c r="K14" s="120">
        <f>$C$14</f>
        <v>0</v>
      </c>
      <c r="L14" s="119">
        <f>ROUNDUP(L10*$K$14,0)</f>
        <v>0</v>
      </c>
      <c r="M14" s="135"/>
      <c r="N14" s="121"/>
      <c r="O14" s="136"/>
      <c r="P14" s="137" t="s">
        <v>642</v>
      </c>
      <c r="Q14" s="138">
        <f>B11+Q11</f>
        <v>0</v>
      </c>
      <c r="R14" s="139">
        <f>R11+C11</f>
        <v>0</v>
      </c>
      <c r="S14" s="140"/>
      <c r="T14" s="141"/>
      <c r="U14" s="142"/>
      <c r="V14" s="141"/>
      <c r="W14" s="143"/>
    </row>
    <row r="15" spans="1:23" ht="13.5" thickTop="1" x14ac:dyDescent="0.2">
      <c r="A15" s="128" t="s">
        <v>640</v>
      </c>
      <c r="B15" s="107"/>
      <c r="C15" s="129"/>
      <c r="D15" s="119">
        <f>ROUND(D14*B131,0)</f>
        <v>0</v>
      </c>
      <c r="E15" s="130"/>
      <c r="F15" s="119">
        <f>ROUND(F14*B131,0)</f>
        <v>0</v>
      </c>
      <c r="G15" s="130"/>
      <c r="H15" s="119">
        <f>+H14*B131</f>
        <v>0</v>
      </c>
      <c r="I15" s="130"/>
      <c r="J15" s="119">
        <f>+J14*B131</f>
        <v>0</v>
      </c>
      <c r="K15" s="130"/>
      <c r="L15" s="119">
        <f>L14*B131</f>
        <v>0</v>
      </c>
      <c r="M15" s="121"/>
      <c r="N15" s="121"/>
      <c r="O15" s="136"/>
      <c r="P15" s="137" t="s">
        <v>643</v>
      </c>
      <c r="Q15" s="138">
        <f>B14</f>
        <v>0</v>
      </c>
      <c r="R15" s="139">
        <f>C14</f>
        <v>0</v>
      </c>
      <c r="S15" s="141"/>
      <c r="T15" s="144"/>
      <c r="U15" s="142"/>
      <c r="V15" s="141"/>
      <c r="W15" s="143"/>
    </row>
    <row r="16" spans="1:23" ht="13.5" thickBot="1" x14ac:dyDescent="0.25">
      <c r="A16" s="128"/>
      <c r="B16" s="107"/>
      <c r="C16" s="129"/>
      <c r="D16" s="119"/>
      <c r="E16" s="130"/>
      <c r="F16" s="119"/>
      <c r="G16" s="130"/>
      <c r="H16" s="119"/>
      <c r="I16" s="130"/>
      <c r="J16" s="119"/>
      <c r="K16" s="130"/>
      <c r="L16" s="119"/>
      <c r="M16" s="121"/>
      <c r="N16" s="121"/>
      <c r="O16" s="145"/>
      <c r="P16" s="146" t="s">
        <v>644</v>
      </c>
      <c r="Q16" s="147">
        <f>SUM(Q14:Q15)</f>
        <v>0</v>
      </c>
      <c r="R16" s="148">
        <f>SUM(R14:R15)</f>
        <v>0</v>
      </c>
      <c r="S16" s="149"/>
      <c r="T16" s="150"/>
      <c r="U16" s="151"/>
      <c r="V16" s="149"/>
      <c r="W16" s="152"/>
    </row>
    <row r="17" spans="1:25" ht="14.25" thickTop="1" thickBot="1" x14ac:dyDescent="0.25">
      <c r="A17" s="106" t="s">
        <v>637</v>
      </c>
      <c r="B17" s="107"/>
      <c r="C17" s="129"/>
      <c r="D17" s="109">
        <f>IF(M17&lt;=$S$3,M17,$S$3)</f>
        <v>0</v>
      </c>
      <c r="E17" s="110"/>
      <c r="F17" s="109">
        <f>IF((M17*$S$2)&lt;=$S$3,(M17*$S$2),$S$3)</f>
        <v>0</v>
      </c>
      <c r="G17" s="110"/>
      <c r="H17" s="109">
        <f>IF((M17*$S$2^2)&lt;=$S$3,(M17*$S$2^2),$S$3)</f>
        <v>0</v>
      </c>
      <c r="I17" s="110"/>
      <c r="J17" s="109">
        <f>IF((M17*$S$2^3)&lt;=$S$3,(M17*$S$2^3),$S$3)</f>
        <v>0</v>
      </c>
      <c r="K17" s="110"/>
      <c r="L17" s="109">
        <f>IF((M17*$S$2^4)&lt;=$S$3,(M17*$S$2^4),$S$3)</f>
        <v>0</v>
      </c>
      <c r="M17" s="111"/>
      <c r="N17" s="112"/>
      <c r="O17" s="113"/>
      <c r="P17" s="114" t="str">
        <f>A17</f>
        <v>Faculty/Professional</v>
      </c>
      <c r="Q17" s="101"/>
      <c r="R17" s="101"/>
      <c r="S17" s="153"/>
      <c r="T17" s="101"/>
      <c r="U17" s="101"/>
      <c r="V17" s="101"/>
      <c r="W17" s="105"/>
    </row>
    <row r="18" spans="1:25" ht="14.25" thickTop="1" thickBot="1" x14ac:dyDescent="0.25">
      <c r="A18" s="69" t="s">
        <v>638</v>
      </c>
      <c r="B18" s="117">
        <f>12*C18</f>
        <v>0</v>
      </c>
      <c r="C18" s="118">
        <v>0</v>
      </c>
      <c r="D18" s="119">
        <f>ROUNDUP(D17*$C$18,0)</f>
        <v>0</v>
      </c>
      <c r="E18" s="120">
        <f>$C$18</f>
        <v>0</v>
      </c>
      <c r="F18" s="119">
        <f>ROUNDUP(F17*$E$18,0)</f>
        <v>0</v>
      </c>
      <c r="G18" s="120">
        <f>$C$18</f>
        <v>0</v>
      </c>
      <c r="H18" s="119">
        <f>ROUNDUP(H17*$G$18,0)</f>
        <v>0</v>
      </c>
      <c r="I18" s="120">
        <f>$C$18</f>
        <v>0</v>
      </c>
      <c r="J18" s="119">
        <f>ROUNDUP(J17*$I$18,0)</f>
        <v>0</v>
      </c>
      <c r="K18" s="120">
        <f>$C$18</f>
        <v>0</v>
      </c>
      <c r="L18" s="119">
        <f>ROUNDUP(L17*$K$18,0)</f>
        <v>0</v>
      </c>
      <c r="M18" s="121"/>
      <c r="N18" s="121"/>
      <c r="O18" s="136"/>
      <c r="P18" s="123" t="s">
        <v>639</v>
      </c>
      <c r="Q18" s="124">
        <f>12*R18</f>
        <v>0</v>
      </c>
      <c r="R18" s="125">
        <v>0</v>
      </c>
      <c r="S18" s="126">
        <f>ROUNDUP(IF($M$17&gt;$S$3,(($M$17-$S$3)*$C$18)+(($M$17-$S$3)*$C$21),0)+($D$17*$R$18),0)</f>
        <v>0</v>
      </c>
      <c r="T18" s="126">
        <f>ROUNDUP(IF(($M$17*$S$2)&gt;$S$3,((($M$17*$S$2)-$S$3)*$E$18)+((($M$17*$S$2)-$S$3)*$E$21),0)+($F$17*$R$18),0)</f>
        <v>0</v>
      </c>
      <c r="U18" s="126">
        <f>ROUNDUP(IF(($M$17*$S$2^2)&gt;$S$3,((($M$17*$S$2^2)-$S$3)*$G$18)+((($M$17*$S$2^2)-$S$3)*$G$21),0)+($H$17*$R$18),0)</f>
        <v>0</v>
      </c>
      <c r="V18" s="126">
        <f>ROUNDUP(IF(($M$17*S2^3)&gt;$S$3,((($M$17*S2^3)-$S$3)*$I$18)+((($M$17*S2^3)-$S$3)*$I$21),0)+($J$17*$R$18),0)</f>
        <v>0</v>
      </c>
      <c r="W18" s="127">
        <f>ROUNDUP(IF(($M$17*S2^4)&gt;$S$3,((($M$17*S2^4)-$S$3)*$K$18)+((($M$17*S2^4)-$S$3)*$K$21),0)+($L$17*$R$18),0)</f>
        <v>0</v>
      </c>
    </row>
    <row r="19" spans="1:25" ht="13.5" thickTop="1" x14ac:dyDescent="0.2">
      <c r="A19" s="128" t="s">
        <v>640</v>
      </c>
      <c r="B19" s="107"/>
      <c r="C19" s="129"/>
      <c r="D19" s="119">
        <f>ROUND(D18*$B$131,0)</f>
        <v>0</v>
      </c>
      <c r="E19" s="130"/>
      <c r="F19" s="119">
        <f>ROUND(F18*$B$131,0)</f>
        <v>0</v>
      </c>
      <c r="G19" s="130"/>
      <c r="H19" s="119">
        <f>ROUND(H18*$B$131,0)</f>
        <v>0</v>
      </c>
      <c r="I19" s="130"/>
      <c r="J19" s="119">
        <f>ROUND(J18*$B$131,0)</f>
        <v>0</v>
      </c>
      <c r="K19" s="130"/>
      <c r="L19" s="119">
        <f>ROUND(L18*$B$131,0)</f>
        <v>0</v>
      </c>
      <c r="M19" s="121"/>
      <c r="N19" s="121"/>
      <c r="O19" s="134"/>
      <c r="P19" s="123" t="s">
        <v>640</v>
      </c>
      <c r="Q19" s="101"/>
      <c r="R19" s="101"/>
      <c r="S19" s="132">
        <f>S18*$B$131</f>
        <v>0</v>
      </c>
      <c r="T19" s="132">
        <f>T18*$B$131</f>
        <v>0</v>
      </c>
      <c r="U19" s="132">
        <f>U18*$B$131</f>
        <v>0</v>
      </c>
      <c r="V19" s="132">
        <f>V18*$B$131</f>
        <v>0</v>
      </c>
      <c r="W19" s="133">
        <f>W18*$B$131</f>
        <v>0</v>
      </c>
    </row>
    <row r="20" spans="1:25" ht="13.5" thickBot="1" x14ac:dyDescent="0.25">
      <c r="A20" s="128"/>
      <c r="B20" s="107"/>
      <c r="C20" s="129"/>
      <c r="D20" s="119"/>
      <c r="E20" s="130"/>
      <c r="F20" s="119"/>
      <c r="G20" s="130"/>
      <c r="H20" s="119"/>
      <c r="I20" s="130"/>
      <c r="J20" s="119"/>
      <c r="K20" s="130"/>
      <c r="L20" s="119"/>
      <c r="M20" s="121"/>
      <c r="N20" s="121"/>
      <c r="O20" s="134"/>
      <c r="P20" s="137" t="s">
        <v>642</v>
      </c>
      <c r="Q20" s="138">
        <f>B18+Q18</f>
        <v>0</v>
      </c>
      <c r="R20" s="139">
        <f>R18+C18</f>
        <v>0</v>
      </c>
      <c r="S20" s="126">
        <f t="shared" ref="S20:W20" si="1">SUM(S18:S19)</f>
        <v>0</v>
      </c>
      <c r="T20" s="126">
        <f t="shared" si="1"/>
        <v>0</v>
      </c>
      <c r="U20" s="126">
        <f t="shared" si="1"/>
        <v>0</v>
      </c>
      <c r="V20" s="126">
        <f t="shared" si="1"/>
        <v>0</v>
      </c>
      <c r="W20" s="127">
        <f t="shared" si="1"/>
        <v>0</v>
      </c>
      <c r="Y20" s="154"/>
    </row>
    <row r="21" spans="1:25" ht="14.25" thickTop="1" thickBot="1" x14ac:dyDescent="0.25">
      <c r="A21" s="128" t="s">
        <v>645</v>
      </c>
      <c r="B21" s="117">
        <f>12*C21</f>
        <v>0</v>
      </c>
      <c r="C21" s="118">
        <v>0</v>
      </c>
      <c r="D21" s="119">
        <f>ROUNDUP(D17*$C$21,0)</f>
        <v>0</v>
      </c>
      <c r="E21" s="120">
        <f>C21</f>
        <v>0</v>
      </c>
      <c r="F21" s="119">
        <f>ROUNDUP(F17*$E$21,0)</f>
        <v>0</v>
      </c>
      <c r="G21" s="120">
        <f>C21</f>
        <v>0</v>
      </c>
      <c r="H21" s="119">
        <f>ROUNDUP(H17*$G$21,0)</f>
        <v>0</v>
      </c>
      <c r="I21" s="120">
        <f>C21</f>
        <v>0</v>
      </c>
      <c r="J21" s="119">
        <f>ROUNDUP(J17*$I$21,0)</f>
        <v>0</v>
      </c>
      <c r="K21" s="120">
        <f>$C$21</f>
        <v>0</v>
      </c>
      <c r="L21" s="119">
        <f>ROUNDUP(L17*$K$21,0)</f>
        <v>0</v>
      </c>
      <c r="M21" s="121"/>
      <c r="N21" s="112"/>
      <c r="O21" s="134"/>
      <c r="P21" s="137" t="s">
        <v>643</v>
      </c>
      <c r="Q21" s="138">
        <v>0</v>
      </c>
      <c r="R21" s="139">
        <v>0</v>
      </c>
      <c r="S21" s="101"/>
      <c r="T21" s="101"/>
      <c r="U21" s="101"/>
      <c r="V21" s="101"/>
      <c r="W21" s="105"/>
    </row>
    <row r="22" spans="1:25" ht="13.5" thickTop="1" x14ac:dyDescent="0.2">
      <c r="A22" s="128" t="s">
        <v>640</v>
      </c>
      <c r="B22" s="107"/>
      <c r="C22" s="129"/>
      <c r="D22" s="119">
        <f>ROUND(D21*$B$131,0)</f>
        <v>0</v>
      </c>
      <c r="E22" s="130"/>
      <c r="F22" s="119">
        <f>ROUND(F21*$B$131,0)</f>
        <v>0</v>
      </c>
      <c r="G22" s="130"/>
      <c r="H22" s="119">
        <f>ROUND(H21*$B$131,0)</f>
        <v>0</v>
      </c>
      <c r="I22" s="130"/>
      <c r="J22" s="119">
        <f>ROUND(J21*$B$131,0)</f>
        <v>0</v>
      </c>
      <c r="K22" s="130"/>
      <c r="L22" s="119">
        <f>ROUND(L21*$B$131,0)</f>
        <v>0</v>
      </c>
      <c r="M22" s="121"/>
      <c r="N22" s="121"/>
      <c r="O22" s="155"/>
      <c r="P22" s="146" t="s">
        <v>644</v>
      </c>
      <c r="Q22" s="147">
        <f>SUM(Q20:Q21)</f>
        <v>0</v>
      </c>
      <c r="R22" s="148">
        <f>SUM(R20:R21)</f>
        <v>0</v>
      </c>
      <c r="S22" s="156"/>
      <c r="T22" s="156"/>
      <c r="U22" s="157"/>
      <c r="V22" s="156"/>
      <c r="W22" s="158"/>
    </row>
    <row r="23" spans="1:25" ht="13.5" thickBot="1" x14ac:dyDescent="0.25">
      <c r="A23" s="128"/>
      <c r="B23" s="107"/>
      <c r="C23" s="129"/>
      <c r="D23" s="119"/>
      <c r="E23" s="130"/>
      <c r="F23" s="119"/>
      <c r="G23" s="130"/>
      <c r="H23" s="119"/>
      <c r="I23" s="130"/>
      <c r="J23" s="119"/>
      <c r="K23" s="130"/>
      <c r="L23" s="119"/>
      <c r="M23" s="121"/>
      <c r="N23" s="121"/>
      <c r="O23" s="113"/>
      <c r="P23" s="114" t="str">
        <f>A36</f>
        <v>Faculty/Professional</v>
      </c>
      <c r="Q23" s="101"/>
      <c r="R23" s="101"/>
      <c r="S23" s="153"/>
      <c r="T23" s="101"/>
      <c r="U23" s="101"/>
      <c r="V23" s="101"/>
      <c r="W23" s="105"/>
    </row>
    <row r="24" spans="1:25" ht="14.25" thickTop="1" thickBot="1" x14ac:dyDescent="0.25">
      <c r="A24" s="106" t="s">
        <v>637</v>
      </c>
      <c r="C24" s="159"/>
      <c r="D24" s="109">
        <f>IF(M24&lt;=$S$3,M24,$S$3)</f>
        <v>0</v>
      </c>
      <c r="E24" s="110"/>
      <c r="F24" s="109">
        <f>IF((M24*$S$2)&lt;=$S$3,(M24*$S$2),$S$3)</f>
        <v>0</v>
      </c>
      <c r="G24" s="110"/>
      <c r="H24" s="109">
        <f>IF((M24*S13^2)&lt;=$S$3,(M24*$S$2^2),$S$3)</f>
        <v>0</v>
      </c>
      <c r="I24" s="110"/>
      <c r="J24" s="109">
        <f>IF((M24*$S$2^3)&lt;=$S$3,(M24*$S$2^3),$S$3)</f>
        <v>0</v>
      </c>
      <c r="K24" s="110"/>
      <c r="L24" s="109">
        <f>IF((M24*$S$2^4)&lt;=$S$3,(M24*$S$2^4),$S$3)</f>
        <v>0</v>
      </c>
      <c r="M24" s="111"/>
      <c r="N24" s="121"/>
      <c r="O24" s="136"/>
      <c r="P24" s="123" t="s">
        <v>639</v>
      </c>
      <c r="Q24" s="124">
        <f>12*R24</f>
        <v>0</v>
      </c>
      <c r="R24" s="125">
        <v>0</v>
      </c>
      <c r="S24" s="126">
        <f>ROUNDUP(IF($M$36&gt;$S$3,(($M$36-$S$3)*$C$37)+(($M$36-$S$3)*$C$38),0)+($D$36*$R$24),0)</f>
        <v>0</v>
      </c>
      <c r="T24" s="126">
        <f>ROUNDUP(IF(($M$36*$S$2)&gt;$S$3,((($M$36*$S$2)-$S$3)*$E$37)+((($M$36*$S$2)-$S$3)*$E$38),0)+($F$36*$R$24),0)</f>
        <v>0</v>
      </c>
      <c r="U24" s="126">
        <f>ROUNDUP(IF(($M$36*$S$2^2)&gt;$S$3,((($M$36*$S$2^2)-$S$3)*$G$37)+((($M$36*$S$2^2)-$S$3)*$G$38),0)+($H$36*$R$24),0)</f>
        <v>0</v>
      </c>
      <c r="V24" s="126">
        <f>ROUNDUP(IF(($M$36*S2^3)&gt;$S$3,((($M$36*S2^3)-$S$3)*$I$37)+((($M$36*S2^3)-$S$3)*$I$38),0)+($J$36*$R$24),0)</f>
        <v>0</v>
      </c>
      <c r="W24" s="127">
        <f>ROUNDUP(IF(($M$36*S2^4)&gt;$S$3,((($M$36*S2^4)-$S$3)*$K$37)+((($M$36*S2^4)-$S$3)*$K$38),0)+($L$36*$R$24),0)</f>
        <v>0</v>
      </c>
    </row>
    <row r="25" spans="1:25" ht="14.25" thickTop="1" thickBot="1" x14ac:dyDescent="0.25">
      <c r="A25" s="69" t="s">
        <v>638</v>
      </c>
      <c r="B25" s="117">
        <f>12*C25</f>
        <v>0</v>
      </c>
      <c r="C25" s="118">
        <v>0</v>
      </c>
      <c r="D25" s="119">
        <f>ROUNDUP(D24*$C$25,0)</f>
        <v>0</v>
      </c>
      <c r="E25" s="120">
        <f>C25</f>
        <v>0</v>
      </c>
      <c r="F25" s="119">
        <f>ROUNDUP(F24*$E$25,0)</f>
        <v>0</v>
      </c>
      <c r="G25" s="120">
        <f>C25</f>
        <v>0</v>
      </c>
      <c r="H25" s="119">
        <f>ROUNDUP(H24*$G$25,0)</f>
        <v>0</v>
      </c>
      <c r="I25" s="120">
        <f>C25</f>
        <v>0</v>
      </c>
      <c r="J25" s="119">
        <f>ROUNDUP(J24*$I$25,0)</f>
        <v>0</v>
      </c>
      <c r="K25" s="120">
        <f>C25</f>
        <v>0</v>
      </c>
      <c r="L25" s="119">
        <f>ROUNDUP(L24*$K$25,0)</f>
        <v>0</v>
      </c>
      <c r="M25" s="121"/>
      <c r="N25" s="112"/>
      <c r="O25" s="134"/>
      <c r="P25" s="123" t="s">
        <v>640</v>
      </c>
      <c r="Q25" s="101"/>
      <c r="R25" s="101"/>
      <c r="S25" s="132">
        <f>S24*$B$131</f>
        <v>0</v>
      </c>
      <c r="T25" s="132">
        <f>T24*$B$131</f>
        <v>0</v>
      </c>
      <c r="U25" s="132">
        <f>U24*$B$131</f>
        <v>0</v>
      </c>
      <c r="V25" s="132">
        <f>V24*$B$131</f>
        <v>0</v>
      </c>
      <c r="W25" s="133">
        <f>W24*$B$131</f>
        <v>0</v>
      </c>
      <c r="Y25" s="160"/>
    </row>
    <row r="26" spans="1:25" ht="13.5" thickTop="1" x14ac:dyDescent="0.2">
      <c r="A26" s="128" t="s">
        <v>640</v>
      </c>
      <c r="C26" s="159"/>
      <c r="D26" s="119">
        <f>ROUND(D25*$B$131,0)</f>
        <v>0</v>
      </c>
      <c r="E26" s="130"/>
      <c r="F26" s="119">
        <f>ROUND(F25*$B$131,0)</f>
        <v>0</v>
      </c>
      <c r="G26" s="130"/>
      <c r="H26" s="119">
        <f>ROUND(H25*$B$131,0)</f>
        <v>0</v>
      </c>
      <c r="I26" s="130"/>
      <c r="J26" s="119">
        <f>ROUND(J25*$B$131,0)</f>
        <v>0</v>
      </c>
      <c r="K26" s="130"/>
      <c r="L26" s="119">
        <f>ROUND(L25*$B$131,0)</f>
        <v>0</v>
      </c>
      <c r="M26" s="121"/>
      <c r="N26" s="121"/>
      <c r="O26" s="134"/>
      <c r="P26" s="137" t="s">
        <v>642</v>
      </c>
      <c r="Q26" s="138">
        <f>B27+Q24</f>
        <v>0</v>
      </c>
      <c r="R26" s="139">
        <f>R24+C27</f>
        <v>0</v>
      </c>
      <c r="S26" s="126">
        <f t="shared" ref="S26:W26" si="2">SUM(S24:S25)</f>
        <v>0</v>
      </c>
      <c r="T26" s="126">
        <f t="shared" si="2"/>
        <v>0</v>
      </c>
      <c r="U26" s="126">
        <f t="shared" si="2"/>
        <v>0</v>
      </c>
      <c r="V26" s="126">
        <f t="shared" si="2"/>
        <v>0</v>
      </c>
      <c r="W26" s="127">
        <f t="shared" si="2"/>
        <v>0</v>
      </c>
      <c r="Y26" s="160"/>
    </row>
    <row r="27" spans="1:25" ht="13.5" thickBot="1" x14ac:dyDescent="0.25">
      <c r="A27" s="128"/>
      <c r="C27" s="159"/>
      <c r="D27" s="119"/>
      <c r="E27" s="161"/>
      <c r="F27" s="119"/>
      <c r="G27" s="161"/>
      <c r="H27" s="119"/>
      <c r="I27" s="161"/>
      <c r="J27" s="119"/>
      <c r="K27" s="161"/>
      <c r="L27" s="119"/>
      <c r="M27" s="121"/>
      <c r="N27" s="121"/>
      <c r="O27" s="134"/>
      <c r="P27" s="137" t="s">
        <v>643</v>
      </c>
      <c r="Q27" s="138">
        <v>0</v>
      </c>
      <c r="R27" s="139">
        <v>0</v>
      </c>
      <c r="S27" s="101"/>
      <c r="T27" s="101"/>
      <c r="U27" s="101"/>
      <c r="V27" s="101"/>
      <c r="W27" s="105"/>
    </row>
    <row r="28" spans="1:25" ht="14.25" thickTop="1" thickBot="1" x14ac:dyDescent="0.25">
      <c r="A28" s="106" t="s">
        <v>637</v>
      </c>
      <c r="C28" s="159"/>
      <c r="D28" s="109">
        <f>IF(M28&lt;=$S$3,M28,$S$3)</f>
        <v>0</v>
      </c>
      <c r="E28" s="110"/>
      <c r="F28" s="109">
        <f>IF((M28*$S$2)&lt;=$S$3,(M28*$S$2),$S$3)</f>
        <v>0</v>
      </c>
      <c r="G28" s="110"/>
      <c r="H28" s="109">
        <f>IF((M28*S17^2)&lt;=$S$3,(M28*$S$2^2),$S$3)</f>
        <v>0</v>
      </c>
      <c r="I28" s="110"/>
      <c r="J28" s="109">
        <f>IF((M28*$S$2^3)&lt;=$S$3,(M28*$S$2^3),$S$3)</f>
        <v>0</v>
      </c>
      <c r="K28" s="110"/>
      <c r="L28" s="109">
        <f>IF((M28*$S$2^4)&lt;=$S$3,(M28*$S$2^4),$S$3)</f>
        <v>0</v>
      </c>
      <c r="M28" s="111"/>
      <c r="N28" s="121"/>
      <c r="O28" s="155"/>
      <c r="P28" s="146" t="s">
        <v>644</v>
      </c>
      <c r="Q28" s="147">
        <f>SUM(Q26:Q27)</f>
        <v>0</v>
      </c>
      <c r="R28" s="148">
        <f>SUM(R26:R27)</f>
        <v>0</v>
      </c>
      <c r="S28" s="156"/>
      <c r="T28" s="156"/>
      <c r="U28" s="157"/>
      <c r="V28" s="156"/>
      <c r="W28" s="158"/>
    </row>
    <row r="29" spans="1:25" ht="14.25" thickTop="1" thickBot="1" x14ac:dyDescent="0.25">
      <c r="A29" s="69" t="s">
        <v>638</v>
      </c>
      <c r="B29" s="117">
        <f>12*C29</f>
        <v>0</v>
      </c>
      <c r="C29" s="118">
        <v>0</v>
      </c>
      <c r="D29" s="119">
        <f>ROUNDUP(D28*$C$29,0)</f>
        <v>0</v>
      </c>
      <c r="E29" s="120">
        <f>$C$29</f>
        <v>0</v>
      </c>
      <c r="F29" s="119">
        <f>ROUNDUP(F28*$E$29,0)</f>
        <v>0</v>
      </c>
      <c r="G29" s="120">
        <f>C29</f>
        <v>0</v>
      </c>
      <c r="H29" s="119">
        <f>ROUNDUP(H28*$G$29,0)</f>
        <v>0</v>
      </c>
      <c r="I29" s="120">
        <f>C29</f>
        <v>0</v>
      </c>
      <c r="J29" s="119">
        <f>ROUNDUP(J28*$I$29,0)</f>
        <v>0</v>
      </c>
      <c r="K29" s="120">
        <f>C29</f>
        <v>0</v>
      </c>
      <c r="L29" s="119">
        <f>ROUNDUP(L28*$K$29,0)</f>
        <v>0</v>
      </c>
      <c r="M29" s="121"/>
      <c r="N29" s="112"/>
      <c r="P29" s="162"/>
      <c r="Q29" s="163"/>
      <c r="R29" s="163"/>
      <c r="S29" s="164"/>
      <c r="T29" s="165"/>
    </row>
    <row r="30" spans="1:25" ht="13.5" thickTop="1" x14ac:dyDescent="0.2">
      <c r="A30" s="128" t="s">
        <v>640</v>
      </c>
      <c r="B30" s="68"/>
      <c r="C30" s="159"/>
      <c r="D30" s="119">
        <f>ROUND(D29*$B$131,0)</f>
        <v>0</v>
      </c>
      <c r="E30" s="130"/>
      <c r="F30" s="119">
        <f>ROUND(F29*$B$131,0)</f>
        <v>0</v>
      </c>
      <c r="G30" s="130"/>
      <c r="H30" s="119">
        <f>ROUND(H29*$B$131,0)</f>
        <v>0</v>
      </c>
      <c r="I30" s="130"/>
      <c r="J30" s="119">
        <f>ROUND(J29*$B$131,0)</f>
        <v>0</v>
      </c>
      <c r="K30" s="130"/>
      <c r="L30" s="119">
        <f>ROUND(L29*$B$131,0)</f>
        <v>0</v>
      </c>
      <c r="M30" s="121"/>
      <c r="N30" s="121"/>
      <c r="Q30" s="163"/>
      <c r="R30" s="163"/>
      <c r="S30" s="164"/>
      <c r="T30" s="165"/>
    </row>
    <row r="31" spans="1:25" ht="13.5" thickBot="1" x14ac:dyDescent="0.25">
      <c r="A31" s="128"/>
      <c r="C31" s="159"/>
      <c r="D31" s="119"/>
      <c r="E31" s="130"/>
      <c r="F31" s="119"/>
      <c r="G31" s="130"/>
      <c r="H31" s="119"/>
      <c r="I31" s="130"/>
      <c r="J31" s="119"/>
      <c r="K31" s="130"/>
      <c r="L31" s="119"/>
      <c r="M31" s="121"/>
      <c r="N31" s="121"/>
      <c r="P31" s="166"/>
      <c r="Q31" s="163"/>
      <c r="R31" s="163"/>
      <c r="S31" s="167"/>
      <c r="T31" s="165"/>
      <c r="U31" s="165"/>
      <c r="V31" s="165"/>
      <c r="W31" s="165"/>
    </row>
    <row r="32" spans="1:25" ht="14.25" thickTop="1" thickBot="1" x14ac:dyDescent="0.25">
      <c r="A32" s="106" t="s">
        <v>637</v>
      </c>
      <c r="C32" s="159"/>
      <c r="D32" s="109">
        <f>IF(M32&lt;=$S$3,M32,$S$3)</f>
        <v>0</v>
      </c>
      <c r="E32" s="110"/>
      <c r="F32" s="109">
        <f>IF((M32*$S$2)&lt;=$S$3,(M32*$S$2),$S$3)</f>
        <v>0</v>
      </c>
      <c r="G32" s="110"/>
      <c r="H32" s="109">
        <f>IF((M32*S21^2)&lt;=$S$3,(M32*$S$2^2),$S$3)</f>
        <v>0</v>
      </c>
      <c r="I32" s="110"/>
      <c r="J32" s="109">
        <f>IF((M32*$S$2^3)&lt;=$S$3,(M32*$S$2^3),$S$3)</f>
        <v>0</v>
      </c>
      <c r="K32" s="110"/>
      <c r="L32" s="109">
        <f>IF((M32*$S$2^4)&lt;=$S$3,(M32*$S$2^4),$S$3)</f>
        <v>0</v>
      </c>
      <c r="M32" s="168"/>
      <c r="N32" s="121"/>
      <c r="P32" s="166"/>
      <c r="Q32" s="163"/>
      <c r="R32" s="163"/>
      <c r="S32" s="164"/>
      <c r="T32" s="165"/>
      <c r="U32" s="162"/>
    </row>
    <row r="33" spans="1:23" ht="14.25" thickTop="1" thickBot="1" x14ac:dyDescent="0.25">
      <c r="A33" s="69" t="s">
        <v>638</v>
      </c>
      <c r="B33" s="117">
        <f>12*C33</f>
        <v>0</v>
      </c>
      <c r="C33" s="118">
        <v>0</v>
      </c>
      <c r="D33" s="119">
        <f>ROUNDUP(D32*$C$33,0)</f>
        <v>0</v>
      </c>
      <c r="E33" s="120">
        <f>$C$33</f>
        <v>0</v>
      </c>
      <c r="F33" s="119">
        <f>ROUNDUP(F32*$E$33,0)</f>
        <v>0</v>
      </c>
      <c r="G33" s="120">
        <f>C33</f>
        <v>0</v>
      </c>
      <c r="H33" s="119">
        <f>ROUNDUP(H32*$G$33,0)</f>
        <v>0</v>
      </c>
      <c r="I33" s="120">
        <f>C33</f>
        <v>0</v>
      </c>
      <c r="J33" s="119">
        <f>ROUNDUP(J32*$I$33,0)</f>
        <v>0</v>
      </c>
      <c r="K33" s="120">
        <f>C33</f>
        <v>0</v>
      </c>
      <c r="L33" s="119">
        <f>ROUNDUP(L32*$K$33,0)</f>
        <v>0</v>
      </c>
      <c r="M33" s="121"/>
      <c r="N33" s="112"/>
      <c r="P33" s="169"/>
      <c r="Q33" s="163"/>
      <c r="R33" s="163"/>
      <c r="S33" s="164"/>
      <c r="T33" s="165"/>
      <c r="U33" s="162"/>
    </row>
    <row r="34" spans="1:23" ht="13.5" thickTop="1" x14ac:dyDescent="0.2">
      <c r="A34" s="128" t="s">
        <v>640</v>
      </c>
      <c r="C34" s="159"/>
      <c r="D34" s="119">
        <f>ROUND(D33*$B$131,0)</f>
        <v>0</v>
      </c>
      <c r="E34" s="130"/>
      <c r="F34" s="119">
        <f>ROUND(F33*$B$131,0)</f>
        <v>0</v>
      </c>
      <c r="G34" s="130"/>
      <c r="H34" s="119">
        <f>ROUND(H33*$B$131,0)</f>
        <v>0</v>
      </c>
      <c r="I34" s="130"/>
      <c r="J34" s="119">
        <f>ROUND(J33*$B$131,0)</f>
        <v>0</v>
      </c>
      <c r="K34" s="130"/>
      <c r="L34" s="119">
        <f>ROUND(L33*$B$131,0)</f>
        <v>0</v>
      </c>
      <c r="M34" s="121"/>
      <c r="N34" s="121"/>
      <c r="P34" s="169"/>
      <c r="Q34" s="163"/>
      <c r="R34" s="163"/>
      <c r="S34" s="164"/>
      <c r="T34" s="165"/>
      <c r="U34" s="162"/>
    </row>
    <row r="35" spans="1:23" ht="13.5" thickBot="1" x14ac:dyDescent="0.25">
      <c r="A35" s="128"/>
      <c r="C35" s="159"/>
      <c r="D35" s="119"/>
      <c r="E35" s="130"/>
      <c r="F35" s="119"/>
      <c r="G35" s="130"/>
      <c r="H35" s="119"/>
      <c r="I35" s="130"/>
      <c r="J35" s="119"/>
      <c r="K35" s="130"/>
      <c r="L35" s="119"/>
      <c r="M35" s="121"/>
      <c r="N35" s="121"/>
      <c r="P35" s="169"/>
      <c r="Q35" s="163"/>
      <c r="R35" s="163"/>
      <c r="S35" s="164"/>
      <c r="T35" s="165"/>
      <c r="U35" s="162"/>
    </row>
    <row r="36" spans="1:23" ht="14.25" thickTop="1" thickBot="1" x14ac:dyDescent="0.25">
      <c r="A36" s="106" t="s">
        <v>637</v>
      </c>
      <c r="C36" s="159"/>
      <c r="D36" s="109">
        <f>IF(M36&lt;=$S$3,M36,$S$3)</f>
        <v>0</v>
      </c>
      <c r="E36" s="110"/>
      <c r="F36" s="109">
        <f>IF((M36*$S$2)&lt;=$S$3,(M36*$S$2),$S$3)</f>
        <v>0</v>
      </c>
      <c r="G36" s="110"/>
      <c r="H36" s="109">
        <f>IF((M36*S2^2)&lt;=$S$3,(M36*$S$2^2),$S$3)</f>
        <v>0</v>
      </c>
      <c r="I36" s="110"/>
      <c r="J36" s="109">
        <f>IF((M36*$S$2^3)&lt;=$S$3,(M36*$S$2^3),$S$3)</f>
        <v>0</v>
      </c>
      <c r="K36" s="110"/>
      <c r="L36" s="109">
        <f>IF((M36*$S$2^4)&lt;=$S$3,(M36*$S$2^4),$S$3)</f>
        <v>0</v>
      </c>
      <c r="M36" s="168"/>
      <c r="N36" s="121"/>
      <c r="P36" s="169"/>
      <c r="Q36" s="163"/>
      <c r="R36" s="163"/>
      <c r="S36" s="164"/>
      <c r="T36" s="165"/>
      <c r="U36" s="162"/>
    </row>
    <row r="37" spans="1:23" ht="14.25" thickTop="1" thickBot="1" x14ac:dyDescent="0.25">
      <c r="A37" s="69" t="s">
        <v>638</v>
      </c>
      <c r="B37" s="117">
        <f>12*C37</f>
        <v>0</v>
      </c>
      <c r="C37" s="118">
        <v>0</v>
      </c>
      <c r="D37" s="119">
        <f>ROUNDUP(D36*$C$37,0)</f>
        <v>0</v>
      </c>
      <c r="E37" s="170">
        <f>$C$37</f>
        <v>0</v>
      </c>
      <c r="F37" s="119">
        <f>ROUNDUP(F36*$E$37,0)</f>
        <v>0</v>
      </c>
      <c r="G37" s="170">
        <f>$C$37</f>
        <v>0</v>
      </c>
      <c r="H37" s="119">
        <f>ROUNDUP(H36*$G$37,0)</f>
        <v>0</v>
      </c>
      <c r="I37" s="170">
        <f>$C$37</f>
        <v>0</v>
      </c>
      <c r="J37" s="119">
        <f>ROUNDUP(J36*$I$37,0)</f>
        <v>0</v>
      </c>
      <c r="K37" s="170">
        <f>$C$37</f>
        <v>0</v>
      </c>
      <c r="L37" s="119">
        <f>ROUNDUP(L36*$K$37,0)</f>
        <v>0</v>
      </c>
      <c r="M37" s="121"/>
      <c r="N37" s="112"/>
      <c r="P37" s="169"/>
      <c r="Q37" s="163"/>
      <c r="R37" s="163"/>
      <c r="S37" s="164"/>
      <c r="T37" s="165"/>
      <c r="U37" s="162"/>
    </row>
    <row r="38" spans="1:23" ht="13.5" thickTop="1" x14ac:dyDescent="0.2">
      <c r="A38" s="128" t="s">
        <v>640</v>
      </c>
      <c r="C38" s="159"/>
      <c r="D38" s="119">
        <f>ROUND(D37*$B$131,0)</f>
        <v>0</v>
      </c>
      <c r="E38" s="130"/>
      <c r="F38" s="119">
        <f>ROUND(F37*$B$131,0)</f>
        <v>0</v>
      </c>
      <c r="G38" s="130"/>
      <c r="H38" s="119">
        <f>ROUND(H37*$B$131,0)</f>
        <v>0</v>
      </c>
      <c r="I38" s="130"/>
      <c r="J38" s="119">
        <f>ROUND(J37*$B$131,0)</f>
        <v>0</v>
      </c>
      <c r="K38" s="130"/>
      <c r="L38" s="119">
        <f>ROUND(L37*$B$131,0)</f>
        <v>0</v>
      </c>
      <c r="M38" s="121"/>
      <c r="N38" s="121"/>
      <c r="P38" s="169"/>
      <c r="Q38" s="163"/>
      <c r="R38" s="163"/>
      <c r="S38" s="164"/>
      <c r="T38" s="165"/>
      <c r="U38" s="162"/>
      <c r="W38" s="171"/>
    </row>
    <row r="39" spans="1:23" ht="13.5" thickBot="1" x14ac:dyDescent="0.25">
      <c r="A39" s="128"/>
      <c r="C39" s="159"/>
      <c r="D39" s="119"/>
      <c r="E39" s="130"/>
      <c r="F39" s="119"/>
      <c r="G39" s="130"/>
      <c r="H39" s="119"/>
      <c r="I39" s="130"/>
      <c r="J39" s="119"/>
      <c r="K39" s="130"/>
      <c r="L39" s="119"/>
      <c r="M39" s="121"/>
      <c r="N39" s="121"/>
      <c r="P39" s="169"/>
      <c r="Q39" s="163"/>
      <c r="R39" s="163"/>
      <c r="S39" s="164"/>
      <c r="T39" s="165"/>
      <c r="U39" s="162"/>
      <c r="W39" s="171"/>
    </row>
    <row r="40" spans="1:23" ht="14.25" thickTop="1" thickBot="1" x14ac:dyDescent="0.25">
      <c r="A40" s="106" t="s">
        <v>637</v>
      </c>
      <c r="C40" s="159"/>
      <c r="D40" s="109">
        <f>IF(M40&lt;=$S$3,M40,$S$3)</f>
        <v>0</v>
      </c>
      <c r="E40" s="110"/>
      <c r="F40" s="109">
        <f>IF((M40*$S$2)&lt;=$S$3,(M40*$S$2),$S$3)</f>
        <v>0</v>
      </c>
      <c r="G40" s="110"/>
      <c r="H40" s="109">
        <f>IF((M40*S6^2)&lt;=$S$3,(M40*$S$2^2),$S$3)</f>
        <v>0</v>
      </c>
      <c r="I40" s="110"/>
      <c r="J40" s="109">
        <f>IF((M40*$S$2^3)&lt;=$S$3,(M40*$S$2^3),$S$3)</f>
        <v>0</v>
      </c>
      <c r="K40" s="110"/>
      <c r="L40" s="109">
        <f>IF((M40*$S$2^4)&lt;=$S$3,(M40*$S$2^4),$S$3)</f>
        <v>0</v>
      </c>
      <c r="M40" s="111"/>
      <c r="N40" s="121"/>
      <c r="P40" s="169"/>
      <c r="Q40" s="163"/>
      <c r="R40" s="163"/>
      <c r="S40" s="164"/>
      <c r="T40" s="165"/>
      <c r="U40" s="162"/>
    </row>
    <row r="41" spans="1:23" ht="14.25" thickTop="1" thickBot="1" x14ac:dyDescent="0.25">
      <c r="A41" s="69" t="s">
        <v>638</v>
      </c>
      <c r="B41" s="117">
        <f>12*C41</f>
        <v>0</v>
      </c>
      <c r="C41" s="118">
        <v>0</v>
      </c>
      <c r="D41" s="119">
        <f>ROUNDUP(D40*$C$41,0)</f>
        <v>0</v>
      </c>
      <c r="E41" s="120">
        <f>$C$41</f>
        <v>0</v>
      </c>
      <c r="F41" s="119">
        <f>ROUNDUP(F40*$E$41,0)</f>
        <v>0</v>
      </c>
      <c r="G41" s="120">
        <f>$C$41</f>
        <v>0</v>
      </c>
      <c r="H41" s="119">
        <f>ROUNDUP(H40*$G$41,0)</f>
        <v>0</v>
      </c>
      <c r="I41" s="120">
        <f>$C$41</f>
        <v>0</v>
      </c>
      <c r="J41" s="119">
        <f>ROUNDUP(J40*$I$41,0)</f>
        <v>0</v>
      </c>
      <c r="K41" s="120">
        <f>$C$41</f>
        <v>0</v>
      </c>
      <c r="L41" s="119">
        <f>ROUNDUP(L40*$K$41,0)</f>
        <v>0</v>
      </c>
      <c r="M41" s="121"/>
      <c r="N41" s="112"/>
      <c r="P41" s="169"/>
      <c r="Q41" s="163"/>
      <c r="R41" s="163"/>
      <c r="S41" s="164"/>
      <c r="T41" s="165"/>
      <c r="U41" s="162"/>
    </row>
    <row r="42" spans="1:23" ht="13.5" thickTop="1" x14ac:dyDescent="0.2">
      <c r="A42" s="128" t="s">
        <v>640</v>
      </c>
      <c r="C42" s="159"/>
      <c r="D42" s="119">
        <f>ROUND(D41*$B$131,0)</f>
        <v>0</v>
      </c>
      <c r="E42" s="130"/>
      <c r="F42" s="119">
        <f>ROUND(F41*$B$131,0)</f>
        <v>0</v>
      </c>
      <c r="G42" s="130"/>
      <c r="H42" s="119">
        <f>ROUND(H41*$B$131,0)</f>
        <v>0</v>
      </c>
      <c r="I42" s="130"/>
      <c r="J42" s="119">
        <f>ROUND(J41*$B$131,0)</f>
        <v>0</v>
      </c>
      <c r="K42" s="130"/>
      <c r="L42" s="119">
        <f>ROUND(L41*$B$131,0)</f>
        <v>0</v>
      </c>
      <c r="M42" s="121"/>
      <c r="N42" s="121"/>
      <c r="P42" s="169"/>
      <c r="Q42" s="163"/>
      <c r="R42" s="163"/>
      <c r="S42" s="164"/>
      <c r="T42" s="165"/>
      <c r="U42" s="162"/>
      <c r="W42" s="171"/>
    </row>
    <row r="43" spans="1:23" x14ac:dyDescent="0.2">
      <c r="A43" s="128"/>
      <c r="C43" s="159"/>
      <c r="D43" s="119"/>
      <c r="E43" s="161"/>
      <c r="F43" s="119"/>
      <c r="G43" s="161"/>
      <c r="H43" s="119"/>
      <c r="I43" s="161"/>
      <c r="J43" s="119"/>
      <c r="K43" s="161"/>
      <c r="L43" s="119"/>
      <c r="M43" s="121"/>
      <c r="N43" s="121"/>
      <c r="P43" s="169"/>
      <c r="Q43" s="163"/>
      <c r="R43" s="163"/>
      <c r="S43" s="164"/>
      <c r="T43" s="165"/>
      <c r="U43" s="162"/>
    </row>
    <row r="44" spans="1:23" x14ac:dyDescent="0.2">
      <c r="A44" s="106" t="s">
        <v>646</v>
      </c>
      <c r="C44" s="159"/>
      <c r="D44" s="140"/>
      <c r="E44" s="172"/>
      <c r="F44" s="140"/>
      <c r="G44" s="172"/>
      <c r="H44" s="140"/>
      <c r="I44" s="172"/>
      <c r="J44" s="140"/>
      <c r="K44" s="172"/>
      <c r="L44" s="140"/>
      <c r="M44" s="112"/>
      <c r="N44" s="121"/>
      <c r="S44" s="171"/>
    </row>
    <row r="45" spans="1:23" x14ac:dyDescent="0.2">
      <c r="A45" s="69" t="s">
        <v>638</v>
      </c>
      <c r="C45" s="159"/>
      <c r="D45" s="171">
        <v>0</v>
      </c>
      <c r="E45" s="173"/>
      <c r="F45" s="171">
        <v>0</v>
      </c>
      <c r="G45" s="173"/>
      <c r="H45" s="119">
        <v>0</v>
      </c>
      <c r="I45" s="173"/>
      <c r="J45" s="119">
        <v>0</v>
      </c>
      <c r="K45" s="173"/>
      <c r="L45" s="119">
        <v>0</v>
      </c>
      <c r="M45" s="174"/>
      <c r="N45" s="175"/>
      <c r="P45" s="69" t="s">
        <v>647</v>
      </c>
      <c r="S45" s="171"/>
    </row>
    <row r="46" spans="1:23" ht="15" x14ac:dyDescent="0.25">
      <c r="A46" s="128" t="s">
        <v>648</v>
      </c>
      <c r="C46" s="159"/>
      <c r="D46" s="171">
        <f>D45*$B$134</f>
        <v>0</v>
      </c>
      <c r="E46" s="176"/>
      <c r="F46" s="171">
        <f>F45*$B$134</f>
        <v>0</v>
      </c>
      <c r="G46" s="176"/>
      <c r="H46" s="171">
        <f>H45*$B$134</f>
        <v>0</v>
      </c>
      <c r="I46" s="176"/>
      <c r="J46" s="171">
        <f>J45*$B$134</f>
        <v>0</v>
      </c>
      <c r="K46" s="176"/>
      <c r="L46" s="171">
        <f>L45*$B$134</f>
        <v>0</v>
      </c>
      <c r="M46" s="174"/>
      <c r="P46" s="177" t="s">
        <v>649</v>
      </c>
      <c r="S46" s="171"/>
    </row>
    <row r="47" spans="1:23" ht="13.5" thickBot="1" x14ac:dyDescent="0.25">
      <c r="A47" s="128"/>
      <c r="C47" s="159"/>
      <c r="D47" s="171"/>
      <c r="E47" s="176"/>
      <c r="F47" s="171"/>
      <c r="G47" s="176"/>
      <c r="H47" s="119"/>
      <c r="I47" s="176"/>
      <c r="J47" s="119"/>
      <c r="K47" s="176"/>
      <c r="L47" s="119"/>
      <c r="M47" s="174"/>
      <c r="S47" s="171"/>
    </row>
    <row r="48" spans="1:23" ht="14.25" thickTop="1" thickBot="1" x14ac:dyDescent="0.25">
      <c r="A48" s="178" t="s">
        <v>650</v>
      </c>
      <c r="C48" s="159"/>
      <c r="D48" s="119">
        <f>ROUND((($M$48/9)*$Q$49)*$Q$50,0)</f>
        <v>0</v>
      </c>
      <c r="E48" s="161"/>
      <c r="F48" s="119">
        <f>ROUND(((($M$48*S2)/9)*$Q$49)*$Q$51,0)</f>
        <v>0</v>
      </c>
      <c r="G48" s="161"/>
      <c r="H48" s="119">
        <f>ROUND(((($M$48*S2^2)/9)*$Q$49)*$Q$52,0)</f>
        <v>0</v>
      </c>
      <c r="I48" s="161"/>
      <c r="J48" s="119">
        <f>ROUND(((($M$48*S2^3)/9)*$Q$49)*$Q$53,0)</f>
        <v>0</v>
      </c>
      <c r="K48" s="161"/>
      <c r="L48" s="119">
        <f>ROUND(((($M$48*S2^4)/9)*$Q$49)*$Q$54,0)</f>
        <v>0</v>
      </c>
      <c r="M48" s="179">
        <v>21000</v>
      </c>
      <c r="O48" s="180" t="s">
        <v>651</v>
      </c>
      <c r="W48" s="171"/>
    </row>
    <row r="49" spans="1:19" ht="14.25" thickTop="1" thickBot="1" x14ac:dyDescent="0.25">
      <c r="A49" s="128" t="s">
        <v>652</v>
      </c>
      <c r="C49" s="159"/>
      <c r="D49" s="171">
        <f>ROUND(D48*$B$133,0)</f>
        <v>0</v>
      </c>
      <c r="E49" s="176"/>
      <c r="F49" s="171">
        <f>ROUND(F48*$B$133,0)</f>
        <v>0</v>
      </c>
      <c r="G49" s="176"/>
      <c r="H49" s="171">
        <f>ROUND(H48*$B$133,0)</f>
        <v>0</v>
      </c>
      <c r="I49" s="176"/>
      <c r="J49" s="171">
        <f>ROUND(J48*$B$133,0)</f>
        <v>0</v>
      </c>
      <c r="K49" s="176"/>
      <c r="L49" s="171">
        <f>ROUND(L48*$B$133,0)</f>
        <v>0</v>
      </c>
      <c r="P49" s="181" t="s">
        <v>653</v>
      </c>
      <c r="Q49" s="182">
        <v>12</v>
      </c>
      <c r="R49" s="141" t="s">
        <v>654</v>
      </c>
    </row>
    <row r="50" spans="1:19" ht="14.25" thickTop="1" thickBot="1" x14ac:dyDescent="0.25">
      <c r="A50" s="128"/>
      <c r="C50" s="159"/>
      <c r="D50" s="171"/>
      <c r="E50" s="183"/>
      <c r="F50" s="171"/>
      <c r="G50" s="183"/>
      <c r="H50" s="171"/>
      <c r="I50" s="176"/>
      <c r="J50" s="171"/>
      <c r="K50" s="176"/>
      <c r="L50" s="171"/>
      <c r="P50" s="181" t="s">
        <v>655</v>
      </c>
      <c r="Q50" s="184">
        <v>0</v>
      </c>
      <c r="R50" s="141"/>
      <c r="S50" s="171"/>
    </row>
    <row r="51" spans="1:19" ht="14.25" thickTop="1" thickBot="1" x14ac:dyDescent="0.25">
      <c r="A51" s="128"/>
      <c r="D51" s="171"/>
      <c r="E51" s="183"/>
      <c r="F51" s="171"/>
      <c r="G51" s="183"/>
      <c r="H51" s="119"/>
      <c r="I51" s="183"/>
      <c r="J51" s="119"/>
      <c r="K51" s="176"/>
      <c r="L51" s="119"/>
      <c r="P51" s="181" t="s">
        <v>656</v>
      </c>
      <c r="Q51" s="184">
        <v>0</v>
      </c>
      <c r="S51" s="171"/>
    </row>
    <row r="52" spans="1:19" ht="14.25" thickTop="1" thickBot="1" x14ac:dyDescent="0.25">
      <c r="A52" s="185"/>
      <c r="D52" s="171"/>
      <c r="E52" s="183"/>
      <c r="F52" s="171"/>
      <c r="G52" s="183"/>
      <c r="H52" s="119"/>
      <c r="I52" s="183"/>
      <c r="J52" s="119"/>
      <c r="K52" s="183"/>
      <c r="L52" s="119"/>
      <c r="P52" s="181" t="s">
        <v>657</v>
      </c>
      <c r="Q52" s="184">
        <v>0</v>
      </c>
    </row>
    <row r="53" spans="1:19" ht="14.25" thickTop="1" thickBot="1" x14ac:dyDescent="0.25">
      <c r="A53" s="186" t="s">
        <v>658</v>
      </c>
      <c r="B53" s="186"/>
      <c r="C53" s="186"/>
      <c r="D53" s="187">
        <f>SUM(D11:D15,D18:D23,D25:D26,D29:D30,D45:D46,D48:D49,D33:D34,D37:D38,D41:D42)</f>
        <v>0</v>
      </c>
      <c r="E53" s="188"/>
      <c r="F53" s="187">
        <f>SUM(F11:F15,F18:F23,F25:F26,F29:F30,F45:F46,F48:F49,F33:F34,F37:F38,F41:F42)</f>
        <v>0</v>
      </c>
      <c r="G53" s="188"/>
      <c r="H53" s="187">
        <f>SUM(H11:H15,H18:H23,H25:H26,H29:H30,H45:H46,H48:H49,H33:H34,H37:H38,H41:H42)</f>
        <v>0</v>
      </c>
      <c r="I53" s="188"/>
      <c r="J53" s="187">
        <f>SUM(J11:J15,J18:J23,J25:J26,J29:J30,J45:J46,J48:J49,J33:J34,J37:J38,J41:J42)</f>
        <v>0</v>
      </c>
      <c r="K53" s="188"/>
      <c r="L53" s="187">
        <f>SUM(L11:L15,L18:L23,L25:L26,L29:L30,L45:L46,L48:L49,L33:L34,L37:L38,L41:L42)</f>
        <v>0</v>
      </c>
      <c r="P53" s="181" t="s">
        <v>659</v>
      </c>
      <c r="Q53" s="184">
        <v>0</v>
      </c>
    </row>
    <row r="54" spans="1:19" ht="14.25" thickTop="1" thickBot="1" x14ac:dyDescent="0.25">
      <c r="D54" s="171"/>
      <c r="E54" s="183"/>
      <c r="F54" s="171"/>
      <c r="G54" s="183"/>
      <c r="H54" s="119"/>
      <c r="I54" s="183"/>
      <c r="J54" s="119"/>
      <c r="K54" s="183"/>
      <c r="L54" s="119"/>
      <c r="P54" s="181" t="s">
        <v>660</v>
      </c>
      <c r="Q54" s="184">
        <v>0</v>
      </c>
    </row>
    <row r="55" spans="1:19" ht="13.5" thickTop="1" x14ac:dyDescent="0.2">
      <c r="A55" s="87" t="s">
        <v>661</v>
      </c>
      <c r="D55" s="171"/>
      <c r="E55" s="183"/>
      <c r="F55" s="171"/>
      <c r="G55" s="183"/>
      <c r="H55" s="119"/>
      <c r="I55" s="183"/>
      <c r="J55" s="119"/>
      <c r="K55" s="183"/>
      <c r="L55" s="119"/>
    </row>
    <row r="56" spans="1:19" x14ac:dyDescent="0.2">
      <c r="A56" s="189"/>
      <c r="B56" s="190"/>
      <c r="C56" s="159"/>
      <c r="D56" s="135">
        <v>0</v>
      </c>
      <c r="E56" s="161"/>
      <c r="F56" s="135">
        <v>0</v>
      </c>
      <c r="G56" s="161"/>
      <c r="H56" s="135">
        <v>0</v>
      </c>
      <c r="I56" s="161"/>
      <c r="J56" s="135">
        <v>0</v>
      </c>
      <c r="K56" s="161"/>
      <c r="L56" s="135">
        <v>0</v>
      </c>
    </row>
    <row r="57" spans="1:19" x14ac:dyDescent="0.2">
      <c r="A57" s="191"/>
      <c r="B57" s="190"/>
      <c r="C57" s="159"/>
      <c r="D57" s="135">
        <v>0</v>
      </c>
      <c r="E57" s="161"/>
      <c r="F57" s="135">
        <v>0</v>
      </c>
      <c r="G57" s="161"/>
      <c r="H57" s="135">
        <v>0</v>
      </c>
      <c r="I57" s="161"/>
      <c r="J57" s="135">
        <v>0</v>
      </c>
      <c r="K57" s="161"/>
      <c r="L57" s="135">
        <v>0</v>
      </c>
    </row>
    <row r="58" spans="1:19" x14ac:dyDescent="0.2">
      <c r="A58" s="189"/>
      <c r="B58" s="190"/>
      <c r="C58" s="159"/>
      <c r="D58" s="135">
        <v>0</v>
      </c>
      <c r="E58" s="161"/>
      <c r="F58" s="135">
        <v>0</v>
      </c>
      <c r="G58" s="161"/>
      <c r="H58" s="135">
        <v>0</v>
      </c>
      <c r="I58" s="161"/>
      <c r="J58" s="135">
        <v>0</v>
      </c>
      <c r="K58" s="161"/>
      <c r="L58" s="135">
        <v>0</v>
      </c>
      <c r="P58" s="171"/>
      <c r="S58" s="171"/>
    </row>
    <row r="59" spans="1:19" x14ac:dyDescent="0.2">
      <c r="A59" s="189"/>
      <c r="B59" s="190"/>
      <c r="C59" s="159"/>
      <c r="D59" s="135">
        <v>0</v>
      </c>
      <c r="E59" s="161"/>
      <c r="F59" s="135">
        <v>0</v>
      </c>
      <c r="G59" s="161"/>
      <c r="H59" s="135">
        <v>0</v>
      </c>
      <c r="I59" s="161"/>
      <c r="J59" s="135">
        <v>0</v>
      </c>
      <c r="K59" s="161"/>
      <c r="L59" s="135">
        <v>0</v>
      </c>
    </row>
    <row r="60" spans="1:19" x14ac:dyDescent="0.2">
      <c r="A60" s="189"/>
      <c r="B60" s="190"/>
      <c r="C60" s="159"/>
      <c r="D60" s="135">
        <v>0</v>
      </c>
      <c r="E60" s="161"/>
      <c r="F60" s="135">
        <v>0</v>
      </c>
      <c r="G60" s="161"/>
      <c r="H60" s="135">
        <v>0</v>
      </c>
      <c r="I60" s="161"/>
      <c r="J60" s="135">
        <v>0</v>
      </c>
      <c r="K60" s="161"/>
      <c r="L60" s="135">
        <v>0</v>
      </c>
    </row>
    <row r="61" spans="1:19" x14ac:dyDescent="0.2">
      <c r="A61" s="189"/>
      <c r="B61" s="190"/>
      <c r="C61" s="159"/>
      <c r="D61" s="135">
        <v>0</v>
      </c>
      <c r="E61" s="161"/>
      <c r="F61" s="135">
        <v>0</v>
      </c>
      <c r="G61" s="161"/>
      <c r="H61" s="135">
        <v>0</v>
      </c>
      <c r="I61" s="161"/>
      <c r="J61" s="135">
        <v>0</v>
      </c>
      <c r="K61" s="161"/>
      <c r="L61" s="135">
        <v>0</v>
      </c>
    </row>
    <row r="62" spans="1:19" x14ac:dyDescent="0.2">
      <c r="A62" s="186" t="s">
        <v>662</v>
      </c>
      <c r="B62" s="186"/>
      <c r="C62" s="186"/>
      <c r="D62" s="187">
        <f>SUM(D55:D61)</f>
        <v>0</v>
      </c>
      <c r="E62" s="188"/>
      <c r="F62" s="187">
        <f>SUM(F55:F61)</f>
        <v>0</v>
      </c>
      <c r="G62" s="188"/>
      <c r="H62" s="187">
        <f>SUM(H55:H61)</f>
        <v>0</v>
      </c>
      <c r="I62" s="188"/>
      <c r="J62" s="187">
        <f>SUM(J55:J61)</f>
        <v>0</v>
      </c>
      <c r="K62" s="188"/>
      <c r="L62" s="187">
        <f>SUM(L55:L61)</f>
        <v>0</v>
      </c>
      <c r="Q62" s="181"/>
      <c r="R62" s="181"/>
    </row>
    <row r="63" spans="1:19" x14ac:dyDescent="0.2">
      <c r="D63" s="171"/>
      <c r="E63" s="183"/>
      <c r="F63" s="171"/>
      <c r="G63" s="183"/>
      <c r="H63" s="119"/>
      <c r="I63" s="183"/>
      <c r="J63" s="119"/>
      <c r="K63" s="183"/>
      <c r="L63" s="119"/>
      <c r="Q63" s="181"/>
      <c r="R63" s="181"/>
    </row>
    <row r="64" spans="1:19" x14ac:dyDescent="0.2">
      <c r="A64" s="87" t="s">
        <v>663</v>
      </c>
      <c r="D64" s="171"/>
      <c r="E64" s="183"/>
      <c r="F64" s="171"/>
      <c r="G64" s="183"/>
      <c r="H64" s="119"/>
      <c r="I64" s="183"/>
      <c r="J64" s="119"/>
      <c r="K64" s="183"/>
      <c r="L64" s="119"/>
      <c r="Q64" s="181"/>
      <c r="R64" s="181"/>
    </row>
    <row r="65" spans="1:19" x14ac:dyDescent="0.2">
      <c r="A65" s="192" t="s">
        <v>664</v>
      </c>
      <c r="D65" s="171">
        <v>0</v>
      </c>
      <c r="E65" s="183"/>
      <c r="F65" s="171">
        <v>0</v>
      </c>
      <c r="G65" s="183"/>
      <c r="H65" s="171">
        <v>0</v>
      </c>
      <c r="I65" s="183"/>
      <c r="J65" s="171">
        <v>0</v>
      </c>
      <c r="K65" s="183"/>
      <c r="L65" s="171">
        <v>0</v>
      </c>
      <c r="N65" s="119"/>
      <c r="Q65" s="181"/>
      <c r="R65" s="181"/>
    </row>
    <row r="66" spans="1:19" x14ac:dyDescent="0.2">
      <c r="A66" s="192"/>
      <c r="D66" s="119">
        <v>0</v>
      </c>
      <c r="E66" s="183"/>
      <c r="F66" s="119">
        <v>0</v>
      </c>
      <c r="G66" s="183"/>
      <c r="H66" s="119">
        <v>0</v>
      </c>
      <c r="I66" s="183"/>
      <c r="J66" s="119">
        <v>0</v>
      </c>
      <c r="K66" s="183"/>
      <c r="L66" s="119">
        <v>0</v>
      </c>
      <c r="N66" s="119"/>
      <c r="P66" s="171"/>
      <c r="Q66" s="181"/>
      <c r="R66" s="181"/>
      <c r="S66" s="171"/>
    </row>
    <row r="67" spans="1:19" x14ac:dyDescent="0.2">
      <c r="A67" s="192"/>
      <c r="D67" s="171">
        <v>0</v>
      </c>
      <c r="E67" s="183"/>
      <c r="F67" s="171">
        <v>0</v>
      </c>
      <c r="G67" s="183"/>
      <c r="H67" s="171">
        <v>0</v>
      </c>
      <c r="I67" s="183"/>
      <c r="J67" s="171">
        <v>0</v>
      </c>
      <c r="K67" s="183"/>
      <c r="L67" s="171">
        <v>0</v>
      </c>
      <c r="Q67" s="181"/>
      <c r="R67" s="181"/>
    </row>
    <row r="68" spans="1:19" x14ac:dyDescent="0.2">
      <c r="A68" s="189"/>
      <c r="B68" s="190"/>
      <c r="C68" s="159"/>
      <c r="D68" s="193"/>
      <c r="E68" s="176"/>
      <c r="F68" s="193"/>
      <c r="G68" s="176"/>
      <c r="H68" s="135"/>
      <c r="I68" s="176"/>
      <c r="J68" s="135"/>
      <c r="K68" s="176"/>
      <c r="L68" s="135"/>
      <c r="Q68" s="181"/>
      <c r="R68" s="181"/>
      <c r="S68" s="194"/>
    </row>
    <row r="69" spans="1:19" x14ac:dyDescent="0.2">
      <c r="A69" s="186" t="s">
        <v>665</v>
      </c>
      <c r="B69" s="186"/>
      <c r="C69" s="186"/>
      <c r="D69" s="187">
        <f>SUM(D64:D68)</f>
        <v>0</v>
      </c>
      <c r="E69" s="188"/>
      <c r="F69" s="187">
        <f t="shared" ref="F69:L69" si="3">SUM(F64:F68)</f>
        <v>0</v>
      </c>
      <c r="G69" s="188"/>
      <c r="H69" s="187">
        <f t="shared" si="3"/>
        <v>0</v>
      </c>
      <c r="I69" s="188"/>
      <c r="J69" s="187">
        <f t="shared" si="3"/>
        <v>0</v>
      </c>
      <c r="K69" s="188"/>
      <c r="L69" s="187">
        <f t="shared" si="3"/>
        <v>0</v>
      </c>
      <c r="Q69" s="181"/>
      <c r="R69" s="181"/>
      <c r="S69" s="194"/>
    </row>
    <row r="70" spans="1:19" x14ac:dyDescent="0.2">
      <c r="D70" s="171"/>
      <c r="E70" s="183"/>
      <c r="F70" s="171"/>
      <c r="G70" s="183"/>
      <c r="H70" s="119"/>
      <c r="I70" s="183"/>
      <c r="J70" s="119"/>
      <c r="K70" s="183"/>
      <c r="L70" s="119"/>
      <c r="Q70" s="181"/>
      <c r="R70" s="181"/>
      <c r="S70" s="194"/>
    </row>
    <row r="71" spans="1:19" x14ac:dyDescent="0.2">
      <c r="A71" s="87" t="s">
        <v>666</v>
      </c>
      <c r="D71" s="171"/>
      <c r="E71" s="183"/>
      <c r="F71" s="171"/>
      <c r="G71" s="183"/>
      <c r="H71" s="119"/>
      <c r="I71" s="183"/>
      <c r="J71" s="119"/>
      <c r="K71" s="183"/>
      <c r="L71" s="119"/>
      <c r="O71" s="101"/>
      <c r="P71" s="195"/>
      <c r="Q71" s="196"/>
      <c r="R71" s="196"/>
      <c r="S71" s="197"/>
    </row>
    <row r="72" spans="1:19" x14ac:dyDescent="0.2">
      <c r="D72" s="171"/>
      <c r="E72" s="183"/>
      <c r="F72" s="171"/>
      <c r="G72" s="183"/>
      <c r="H72" s="119"/>
      <c r="I72" s="183"/>
      <c r="J72" s="119"/>
      <c r="K72" s="183"/>
      <c r="L72" s="119"/>
      <c r="N72" s="119"/>
      <c r="O72" s="101"/>
      <c r="P72" s="101"/>
      <c r="Q72" s="123"/>
      <c r="R72" s="123"/>
      <c r="S72" s="198"/>
    </row>
    <row r="73" spans="1:19" x14ac:dyDescent="0.2">
      <c r="A73" s="199" t="s">
        <v>667</v>
      </c>
      <c r="B73" s="200"/>
      <c r="C73" s="201"/>
      <c r="D73" s="119">
        <v>0</v>
      </c>
      <c r="E73" s="202"/>
      <c r="F73" s="119">
        <v>0</v>
      </c>
      <c r="G73" s="202"/>
      <c r="H73" s="119">
        <v>0</v>
      </c>
      <c r="I73" s="203"/>
      <c r="J73" s="119">
        <v>0</v>
      </c>
      <c r="L73" s="119">
        <v>0</v>
      </c>
      <c r="Q73" s="181"/>
      <c r="R73" s="181"/>
      <c r="S73" s="194"/>
    </row>
    <row r="74" spans="1:19" x14ac:dyDescent="0.2">
      <c r="A74" s="199" t="s">
        <v>667</v>
      </c>
      <c r="B74" s="200"/>
      <c r="C74" s="201"/>
      <c r="D74" s="119">
        <v>0</v>
      </c>
      <c r="E74" s="202"/>
      <c r="F74" s="119">
        <v>0</v>
      </c>
      <c r="G74" s="202"/>
      <c r="H74" s="119">
        <v>0</v>
      </c>
      <c r="I74" s="204"/>
      <c r="J74" s="119">
        <v>0</v>
      </c>
      <c r="L74" s="119">
        <v>0</v>
      </c>
      <c r="O74" s="101"/>
      <c r="P74" s="195"/>
      <c r="Q74" s="196"/>
      <c r="R74" s="196"/>
      <c r="S74" s="197"/>
    </row>
    <row r="75" spans="1:19" x14ac:dyDescent="0.2">
      <c r="A75" s="205" t="s">
        <v>668</v>
      </c>
      <c r="B75" s="200"/>
      <c r="C75" s="201"/>
      <c r="D75" s="119">
        <v>0</v>
      </c>
      <c r="E75" s="202"/>
      <c r="F75" s="119">
        <v>0</v>
      </c>
      <c r="G75" s="202"/>
      <c r="H75" s="119">
        <v>0</v>
      </c>
      <c r="I75" s="204"/>
      <c r="J75" s="119">
        <v>0</v>
      </c>
      <c r="L75" s="119">
        <v>0</v>
      </c>
      <c r="O75" s="101"/>
      <c r="P75" s="101"/>
      <c r="Q75" s="123"/>
      <c r="R75" s="123"/>
      <c r="S75" s="198"/>
    </row>
    <row r="76" spans="1:19" x14ac:dyDescent="0.2">
      <c r="A76" s="206" t="s">
        <v>669</v>
      </c>
      <c r="D76" s="119">
        <v>0</v>
      </c>
      <c r="E76" s="202"/>
      <c r="F76" s="119">
        <v>0</v>
      </c>
      <c r="G76" s="202"/>
      <c r="H76" s="119">
        <v>0</v>
      </c>
      <c r="I76" s="204"/>
      <c r="J76" s="119">
        <v>0</v>
      </c>
      <c r="L76" s="119">
        <v>0</v>
      </c>
      <c r="O76" s="101"/>
      <c r="P76" s="101"/>
      <c r="Q76" s="195"/>
      <c r="R76" s="195"/>
      <c r="S76" s="198"/>
    </row>
    <row r="77" spans="1:19" x14ac:dyDescent="0.2">
      <c r="A77" s="207" t="s">
        <v>670</v>
      </c>
      <c r="B77" s="200"/>
      <c r="C77" s="201"/>
      <c r="D77" s="119">
        <v>0</v>
      </c>
      <c r="E77" s="202"/>
      <c r="F77" s="119">
        <v>0</v>
      </c>
      <c r="G77" s="202"/>
      <c r="H77" s="119">
        <v>0</v>
      </c>
      <c r="I77" s="208"/>
      <c r="J77" s="119">
        <v>0</v>
      </c>
      <c r="L77" s="119">
        <v>0</v>
      </c>
      <c r="O77" s="101"/>
      <c r="P77" s="101"/>
      <c r="Q77" s="195"/>
      <c r="R77" s="195"/>
      <c r="S77" s="198"/>
    </row>
    <row r="78" spans="1:19" x14ac:dyDescent="0.2">
      <c r="A78" s="70" t="s">
        <v>671</v>
      </c>
      <c r="B78" s="190"/>
      <c r="C78" s="159"/>
      <c r="D78" s="119">
        <v>0</v>
      </c>
      <c r="E78" s="161"/>
      <c r="F78" s="119">
        <v>0</v>
      </c>
      <c r="G78" s="161"/>
      <c r="H78" s="119">
        <v>0</v>
      </c>
      <c r="I78" s="209"/>
      <c r="J78" s="119">
        <v>0</v>
      </c>
      <c r="K78" s="210"/>
      <c r="L78" s="119">
        <v>0</v>
      </c>
      <c r="O78" s="101"/>
      <c r="P78" s="211"/>
      <c r="Q78" s="123"/>
      <c r="R78" s="123"/>
      <c r="S78" s="198"/>
    </row>
    <row r="79" spans="1:19" x14ac:dyDescent="0.2">
      <c r="A79" s="205" t="s">
        <v>672</v>
      </c>
      <c r="B79" s="190"/>
      <c r="C79" s="159"/>
      <c r="D79" s="119"/>
      <c r="E79" s="161"/>
      <c r="F79" s="119"/>
      <c r="G79" s="161"/>
      <c r="H79" s="119"/>
      <c r="I79" s="209"/>
      <c r="J79" s="119"/>
      <c r="K79" s="210"/>
      <c r="L79" s="119"/>
      <c r="N79" s="119"/>
      <c r="Q79" s="181"/>
      <c r="R79" s="181"/>
    </row>
    <row r="80" spans="1:19" x14ac:dyDescent="0.2">
      <c r="A80" s="205" t="s">
        <v>673</v>
      </c>
      <c r="B80" s="212"/>
      <c r="C80" s="213"/>
      <c r="D80" s="119"/>
      <c r="E80" s="214"/>
      <c r="F80" s="119"/>
      <c r="G80" s="214"/>
      <c r="H80" s="119"/>
      <c r="I80" s="214"/>
      <c r="J80" s="119"/>
      <c r="K80" s="214"/>
      <c r="L80" s="119"/>
      <c r="N80" s="119"/>
      <c r="Q80" s="215"/>
      <c r="R80" s="181"/>
      <c r="S80" s="171"/>
    </row>
    <row r="81" spans="1:19" x14ac:dyDescent="0.2">
      <c r="A81" s="205" t="s">
        <v>674</v>
      </c>
      <c r="B81" s="212"/>
      <c r="C81" s="213"/>
      <c r="D81" s="119"/>
      <c r="E81" s="214"/>
      <c r="F81" s="119"/>
      <c r="G81" s="214"/>
      <c r="H81" s="119"/>
      <c r="I81" s="214"/>
      <c r="J81" s="119"/>
      <c r="K81" s="214"/>
      <c r="L81" s="119"/>
      <c r="N81" s="119"/>
      <c r="O81" s="101"/>
      <c r="P81" s="211"/>
      <c r="Q81" s="123"/>
      <c r="R81" s="123"/>
      <c r="S81" s="198"/>
    </row>
    <row r="82" spans="1:19" x14ac:dyDescent="0.2">
      <c r="A82" s="205"/>
      <c r="B82" s="212"/>
      <c r="C82" s="213"/>
      <c r="D82" s="119"/>
      <c r="E82" s="214"/>
      <c r="F82" s="119"/>
      <c r="G82" s="214"/>
      <c r="H82" s="119"/>
      <c r="I82" s="214"/>
      <c r="J82" s="119"/>
      <c r="K82" s="214"/>
      <c r="L82" s="119"/>
      <c r="N82" s="119"/>
      <c r="O82" s="101"/>
      <c r="P82" s="211"/>
      <c r="Q82" s="123"/>
      <c r="R82" s="123"/>
      <c r="S82" s="171"/>
    </row>
    <row r="83" spans="1:19" x14ac:dyDescent="0.2">
      <c r="A83" s="205"/>
      <c r="B83" s="212"/>
      <c r="C83" s="213"/>
      <c r="D83" s="119"/>
      <c r="E83" s="214"/>
      <c r="F83" s="119"/>
      <c r="G83" s="214"/>
      <c r="H83" s="119"/>
      <c r="I83" s="214"/>
      <c r="J83" s="119"/>
      <c r="K83" s="214"/>
      <c r="L83" s="119"/>
      <c r="N83" s="119"/>
      <c r="O83" s="101"/>
      <c r="P83" s="211"/>
      <c r="Q83" s="123"/>
      <c r="R83" s="123"/>
      <c r="S83" s="198"/>
    </row>
    <row r="84" spans="1:19" x14ac:dyDescent="0.2">
      <c r="D84" s="171"/>
      <c r="E84" s="183"/>
      <c r="F84" s="171"/>
      <c r="G84" s="183"/>
      <c r="H84" s="119"/>
      <c r="I84" s="183"/>
      <c r="J84" s="119"/>
      <c r="K84" s="183"/>
      <c r="L84" s="119"/>
      <c r="N84" s="119"/>
      <c r="Q84" s="181"/>
      <c r="R84" s="181"/>
    </row>
    <row r="85" spans="1:19" x14ac:dyDescent="0.2">
      <c r="A85" s="186" t="s">
        <v>675</v>
      </c>
      <c r="B85" s="186"/>
      <c r="C85" s="186"/>
      <c r="D85" s="187">
        <f>SUM(D71:D84)</f>
        <v>0</v>
      </c>
      <c r="E85" s="188"/>
      <c r="F85" s="187">
        <f>SUM(F71:F84)</f>
        <v>0</v>
      </c>
      <c r="G85" s="188"/>
      <c r="H85" s="187">
        <f>SUM(H72:H84)</f>
        <v>0</v>
      </c>
      <c r="I85" s="188"/>
      <c r="J85" s="187">
        <f>SUM(J71:J84)</f>
        <v>0</v>
      </c>
      <c r="K85" s="188"/>
      <c r="L85" s="187">
        <f>SUM(L71:L84)</f>
        <v>0</v>
      </c>
      <c r="N85" s="216"/>
      <c r="Q85" s="181"/>
      <c r="R85" s="181"/>
    </row>
    <row r="86" spans="1:19" x14ac:dyDescent="0.2">
      <c r="A86" s="79"/>
      <c r="D86" s="171"/>
      <c r="E86" s="183"/>
      <c r="F86" s="171"/>
      <c r="G86" s="183"/>
      <c r="H86" s="119"/>
      <c r="I86" s="183"/>
      <c r="J86" s="119"/>
      <c r="K86" s="183"/>
      <c r="L86" s="119"/>
      <c r="Q86" s="181"/>
      <c r="R86" s="181"/>
    </row>
    <row r="87" spans="1:19" x14ac:dyDescent="0.2">
      <c r="A87" s="87" t="s">
        <v>676</v>
      </c>
      <c r="D87" s="171">
        <f>ROUND($Q$89*$Q$50,0)</f>
        <v>0</v>
      </c>
      <c r="E87" s="183"/>
      <c r="F87" s="171">
        <f>ROUND(($Q$89*S2)*$Q$51,0)</f>
        <v>0</v>
      </c>
      <c r="G87" s="183"/>
      <c r="H87" s="171">
        <f>ROUND(($Q$89*S2^2)*$Q$52,0)</f>
        <v>0</v>
      </c>
      <c r="I87" s="183"/>
      <c r="J87" s="171">
        <f>ROUND(($Q$89*S2^3)*$Q$53,0)</f>
        <v>0</v>
      </c>
      <c r="K87" s="183"/>
      <c r="L87" s="171">
        <f>ROUND(($Q$89*S2^4)*$Q$54,0)</f>
        <v>0</v>
      </c>
      <c r="Q87" s="181"/>
      <c r="R87" s="181"/>
    </row>
    <row r="88" spans="1:19" x14ac:dyDescent="0.2">
      <c r="A88" s="79"/>
      <c r="D88" s="171"/>
      <c r="E88" s="183"/>
      <c r="F88" s="171"/>
      <c r="G88" s="183"/>
      <c r="H88" s="119"/>
      <c r="I88" s="183"/>
      <c r="J88" s="119"/>
      <c r="K88" s="183"/>
      <c r="L88" s="119"/>
      <c r="P88" s="69" t="s">
        <v>677</v>
      </c>
      <c r="Q88" s="217">
        <f>17080*2</f>
        <v>34160</v>
      </c>
      <c r="R88" s="181"/>
    </row>
    <row r="89" spans="1:19" x14ac:dyDescent="0.2">
      <c r="A89" s="186"/>
      <c r="B89" s="186"/>
      <c r="C89" s="186"/>
      <c r="D89" s="187">
        <f>D87</f>
        <v>0</v>
      </c>
      <c r="E89" s="188"/>
      <c r="F89" s="187">
        <f t="shared" ref="F89:L89" si="4">F87</f>
        <v>0</v>
      </c>
      <c r="G89" s="188"/>
      <c r="H89" s="187">
        <f t="shared" si="4"/>
        <v>0</v>
      </c>
      <c r="I89" s="188"/>
      <c r="J89" s="187">
        <f t="shared" si="4"/>
        <v>0</v>
      </c>
      <c r="K89" s="188"/>
      <c r="L89" s="187">
        <f t="shared" si="4"/>
        <v>0</v>
      </c>
      <c r="N89" s="216"/>
      <c r="Q89" s="217">
        <f>Q88*0.2</f>
        <v>6832</v>
      </c>
      <c r="R89" s="181"/>
    </row>
    <row r="90" spans="1:19" x14ac:dyDescent="0.2">
      <c r="A90" s="79"/>
      <c r="D90" s="171"/>
      <c r="E90" s="183"/>
      <c r="F90" s="171"/>
      <c r="G90" s="183"/>
      <c r="H90" s="119"/>
      <c r="I90" s="183"/>
      <c r="J90" s="119"/>
      <c r="K90" s="183"/>
      <c r="L90" s="119"/>
      <c r="Q90" s="181"/>
      <c r="R90" s="181"/>
    </row>
    <row r="91" spans="1:19" x14ac:dyDescent="0.2">
      <c r="A91" s="79"/>
      <c r="D91" s="171"/>
      <c r="E91" s="183"/>
      <c r="F91" s="171"/>
      <c r="G91" s="183"/>
      <c r="H91" s="119"/>
      <c r="I91" s="183"/>
      <c r="J91" s="119"/>
      <c r="K91" s="183"/>
      <c r="L91" s="119"/>
      <c r="Q91" s="181"/>
      <c r="R91" s="181"/>
    </row>
    <row r="92" spans="1:19" x14ac:dyDescent="0.2">
      <c r="A92" s="87" t="s">
        <v>678</v>
      </c>
      <c r="D92" s="171"/>
      <c r="E92" s="183"/>
      <c r="F92" s="171"/>
      <c r="G92" s="183"/>
      <c r="H92" s="119"/>
      <c r="I92" s="183"/>
      <c r="J92" s="119"/>
      <c r="K92" s="183"/>
      <c r="L92" s="119"/>
      <c r="N92" s="119"/>
      <c r="Q92" s="218"/>
    </row>
    <row r="93" spans="1:19" x14ac:dyDescent="0.2">
      <c r="D93" s="171"/>
      <c r="E93" s="183"/>
      <c r="F93" s="171"/>
      <c r="G93" s="183"/>
      <c r="H93" s="119"/>
      <c r="I93" s="183"/>
      <c r="J93" s="119"/>
      <c r="K93" s="183"/>
      <c r="L93" s="119"/>
    </row>
    <row r="94" spans="1:19" x14ac:dyDescent="0.2">
      <c r="A94" s="219" t="s">
        <v>679</v>
      </c>
      <c r="B94" s="220"/>
      <c r="C94" s="220"/>
      <c r="D94" s="221"/>
      <c r="E94" s="222"/>
      <c r="F94" s="221"/>
      <c r="G94" s="222"/>
      <c r="H94" s="221"/>
      <c r="I94" s="222"/>
      <c r="J94" s="221"/>
      <c r="K94" s="222"/>
      <c r="L94" s="221"/>
    </row>
    <row r="95" spans="1:19" x14ac:dyDescent="0.2">
      <c r="A95" s="207" t="s">
        <v>680</v>
      </c>
      <c r="D95" s="171">
        <f>SUM(D96:D97)</f>
        <v>0</v>
      </c>
      <c r="E95" s="183"/>
      <c r="F95" s="171">
        <f t="shared" ref="F95:L95" si="5">SUM(F96:F97)</f>
        <v>0</v>
      </c>
      <c r="G95" s="183"/>
      <c r="H95" s="171">
        <f t="shared" si="5"/>
        <v>0</v>
      </c>
      <c r="I95" s="183"/>
      <c r="J95" s="171">
        <f t="shared" si="5"/>
        <v>0</v>
      </c>
      <c r="K95" s="183"/>
      <c r="L95" s="171">
        <f t="shared" si="5"/>
        <v>0</v>
      </c>
      <c r="M95" s="171"/>
      <c r="P95" s="223"/>
    </row>
    <row r="96" spans="1:19" x14ac:dyDescent="0.2">
      <c r="A96" s="70" t="s">
        <v>681</v>
      </c>
      <c r="D96" s="135">
        <v>0</v>
      </c>
      <c r="E96" s="161"/>
      <c r="F96" s="135">
        <v>0</v>
      </c>
      <c r="G96" s="161"/>
      <c r="H96" s="135">
        <v>0</v>
      </c>
      <c r="I96" s="161"/>
      <c r="J96" s="135">
        <v>0</v>
      </c>
      <c r="K96" s="161"/>
      <c r="L96" s="135">
        <v>0</v>
      </c>
    </row>
    <row r="97" spans="1:16" x14ac:dyDescent="0.2">
      <c r="A97" s="70" t="s">
        <v>682</v>
      </c>
      <c r="D97" s="224">
        <v>0</v>
      </c>
      <c r="E97" s="161"/>
      <c r="F97" s="224">
        <v>0</v>
      </c>
      <c r="G97" s="161"/>
      <c r="H97" s="224">
        <v>0</v>
      </c>
      <c r="I97" s="161"/>
      <c r="J97" s="224">
        <v>0</v>
      </c>
      <c r="K97" s="161"/>
      <c r="L97" s="224">
        <v>0</v>
      </c>
    </row>
    <row r="98" spans="1:16" x14ac:dyDescent="0.2">
      <c r="A98" s="70" t="s">
        <v>683</v>
      </c>
      <c r="D98" s="171">
        <f>IF(D95&gt;25000,25000,D95)</f>
        <v>0</v>
      </c>
      <c r="E98" s="183"/>
      <c r="F98" s="171">
        <f>IF((F95+D98)&gt;25000,25000-D98,F95)</f>
        <v>0</v>
      </c>
      <c r="G98" s="183"/>
      <c r="H98" s="171">
        <f>IF((D98+H95+F98)&gt;25000,25000-(D98+F98),H95)</f>
        <v>0</v>
      </c>
      <c r="I98" s="183"/>
      <c r="J98" s="171">
        <f>IF((D98+F98+J95+H98)&gt;25000,25000-(D98+F98+H98),J95)</f>
        <v>0</v>
      </c>
      <c r="K98" s="183"/>
      <c r="L98" s="171">
        <f>IF((D98+F98+H98+J98+L95)&gt;25000,25000-(D98+F98+H98+J98),L95)</f>
        <v>0</v>
      </c>
    </row>
    <row r="99" spans="1:16" x14ac:dyDescent="0.2">
      <c r="A99" s="70"/>
      <c r="D99" s="171"/>
      <c r="E99" s="183"/>
      <c r="F99" s="171"/>
      <c r="G99" s="183"/>
      <c r="H99" s="119"/>
      <c r="I99" s="183"/>
      <c r="J99" s="119"/>
      <c r="K99" s="183"/>
      <c r="L99" s="119"/>
      <c r="N99" s="119"/>
    </row>
    <row r="100" spans="1:16" x14ac:dyDescent="0.2">
      <c r="D100" s="171"/>
      <c r="E100" s="183"/>
      <c r="F100" s="171"/>
      <c r="G100" s="183"/>
      <c r="H100" s="119"/>
      <c r="I100" s="183"/>
      <c r="J100" s="119"/>
      <c r="K100" s="183"/>
      <c r="L100" s="119"/>
    </row>
    <row r="101" spans="1:16" x14ac:dyDescent="0.2">
      <c r="A101" s="219" t="s">
        <v>679</v>
      </c>
      <c r="B101" s="220"/>
      <c r="C101" s="220"/>
      <c r="D101" s="221"/>
      <c r="E101" s="222"/>
      <c r="F101" s="221"/>
      <c r="G101" s="222"/>
      <c r="H101" s="221"/>
      <c r="I101" s="222"/>
      <c r="J101" s="221"/>
      <c r="K101" s="222"/>
      <c r="L101" s="221"/>
    </row>
    <row r="102" spans="1:16" x14ac:dyDescent="0.2">
      <c r="A102" s="207" t="s">
        <v>680</v>
      </c>
      <c r="D102" s="171">
        <f>SUM(D103:D104)</f>
        <v>0</v>
      </c>
      <c r="E102" s="183"/>
      <c r="F102" s="171">
        <f t="shared" ref="F102" si="6">SUM(F103:F104)</f>
        <v>0</v>
      </c>
      <c r="G102" s="183"/>
      <c r="H102" s="171">
        <f t="shared" ref="H102" si="7">SUM(H103:H104)</f>
        <v>0</v>
      </c>
      <c r="I102" s="183"/>
      <c r="J102" s="171">
        <f t="shared" ref="J102" si="8">SUM(J103:J104)</f>
        <v>0</v>
      </c>
      <c r="K102" s="183"/>
      <c r="L102" s="171">
        <f t="shared" ref="L102" si="9">SUM(L103:L104)</f>
        <v>0</v>
      </c>
      <c r="M102" s="171"/>
      <c r="P102" s="223"/>
    </row>
    <row r="103" spans="1:16" x14ac:dyDescent="0.2">
      <c r="A103" s="70" t="s">
        <v>681</v>
      </c>
      <c r="D103" s="135">
        <v>0</v>
      </c>
      <c r="E103" s="161"/>
      <c r="F103" s="135">
        <v>0</v>
      </c>
      <c r="G103" s="161"/>
      <c r="H103" s="135">
        <v>0</v>
      </c>
      <c r="I103" s="161"/>
      <c r="J103" s="135">
        <v>0</v>
      </c>
      <c r="K103" s="161"/>
      <c r="L103" s="135">
        <v>0</v>
      </c>
    </row>
    <row r="104" spans="1:16" x14ac:dyDescent="0.2">
      <c r="A104" s="70" t="s">
        <v>682</v>
      </c>
      <c r="D104" s="224">
        <v>0</v>
      </c>
      <c r="E104" s="161"/>
      <c r="F104" s="224">
        <v>0</v>
      </c>
      <c r="G104" s="161"/>
      <c r="H104" s="224">
        <v>0</v>
      </c>
      <c r="I104" s="161"/>
      <c r="J104" s="224">
        <v>0</v>
      </c>
      <c r="K104" s="161"/>
      <c r="L104" s="224">
        <v>0</v>
      </c>
    </row>
    <row r="105" spans="1:16" x14ac:dyDescent="0.2">
      <c r="A105" s="70" t="s">
        <v>683</v>
      </c>
      <c r="D105" s="171">
        <f>IF(D102&gt;25000,25000,D102)</f>
        <v>0</v>
      </c>
      <c r="E105" s="183"/>
      <c r="F105" s="171">
        <f>IF((F102+D105)&gt;25000,25000-D105,F102)</f>
        <v>0</v>
      </c>
      <c r="G105" s="183"/>
      <c r="H105" s="171">
        <f>IF((D105+H102+F105)&gt;25000,25000-(D105+F105),H102)</f>
        <v>0</v>
      </c>
      <c r="I105" s="183"/>
      <c r="J105" s="171">
        <f>IF((D105+F105+J102+H105)&gt;25000,25000-(D105+F105+H105),J102)</f>
        <v>0</v>
      </c>
      <c r="K105" s="183"/>
      <c r="L105" s="171">
        <f>IF((D105+F105+H105+J105+L102)&gt;25000,25000-(D105+F105+H105+J105),L102)</f>
        <v>0</v>
      </c>
    </row>
    <row r="106" spans="1:16" x14ac:dyDescent="0.2">
      <c r="A106" s="70"/>
      <c r="D106" s="171"/>
      <c r="E106" s="183"/>
      <c r="F106" s="171"/>
      <c r="G106" s="183"/>
      <c r="H106" s="119"/>
      <c r="I106" s="183"/>
      <c r="J106" s="119"/>
      <c r="K106" s="183"/>
      <c r="L106" s="119"/>
    </row>
    <row r="107" spans="1:16" x14ac:dyDescent="0.2">
      <c r="A107" s="219" t="s">
        <v>679</v>
      </c>
      <c r="B107" s="220"/>
      <c r="C107" s="220"/>
      <c r="D107" s="221"/>
      <c r="E107" s="222"/>
      <c r="F107" s="221"/>
      <c r="G107" s="222"/>
      <c r="H107" s="221"/>
      <c r="I107" s="222"/>
      <c r="J107" s="221"/>
      <c r="K107" s="222"/>
      <c r="L107" s="221"/>
    </row>
    <row r="108" spans="1:16" x14ac:dyDescent="0.2">
      <c r="A108" s="207" t="s">
        <v>680</v>
      </c>
      <c r="D108" s="171">
        <f>SUM(D109:D110)</f>
        <v>0</v>
      </c>
      <c r="E108" s="183"/>
      <c r="F108" s="171">
        <f t="shared" ref="F108" si="10">SUM(F109:F110)</f>
        <v>0</v>
      </c>
      <c r="G108" s="183"/>
      <c r="H108" s="171">
        <f t="shared" ref="H108" si="11">SUM(H109:H110)</f>
        <v>0</v>
      </c>
      <c r="I108" s="183"/>
      <c r="J108" s="171">
        <f t="shared" ref="J108" si="12">SUM(J109:J110)</f>
        <v>0</v>
      </c>
      <c r="K108" s="183"/>
      <c r="L108" s="171">
        <f t="shared" ref="L108" si="13">SUM(L109:L110)</f>
        <v>0</v>
      </c>
    </row>
    <row r="109" spans="1:16" x14ac:dyDescent="0.2">
      <c r="A109" s="70" t="s">
        <v>681</v>
      </c>
      <c r="D109" s="135">
        <v>0</v>
      </c>
      <c r="E109" s="161"/>
      <c r="F109" s="135">
        <v>0</v>
      </c>
      <c r="G109" s="161"/>
      <c r="H109" s="135">
        <v>0</v>
      </c>
      <c r="I109" s="161"/>
      <c r="J109" s="135">
        <v>0</v>
      </c>
      <c r="K109" s="161"/>
      <c r="L109" s="135">
        <v>0</v>
      </c>
    </row>
    <row r="110" spans="1:16" x14ac:dyDescent="0.2">
      <c r="A110" s="70" t="s">
        <v>682</v>
      </c>
      <c r="D110" s="224">
        <v>0</v>
      </c>
      <c r="E110" s="161"/>
      <c r="F110" s="224">
        <v>0</v>
      </c>
      <c r="G110" s="161"/>
      <c r="H110" s="224">
        <v>0</v>
      </c>
      <c r="I110" s="161"/>
      <c r="J110" s="224">
        <v>0</v>
      </c>
      <c r="K110" s="161"/>
      <c r="L110" s="224">
        <v>0</v>
      </c>
    </row>
    <row r="111" spans="1:16" x14ac:dyDescent="0.2">
      <c r="A111" s="70" t="s">
        <v>683</v>
      </c>
      <c r="D111" s="171">
        <f>IF(D108&gt;25000,25000,D108)</f>
        <v>0</v>
      </c>
      <c r="E111" s="183"/>
      <c r="F111" s="171">
        <f>IF((F108+D111)&gt;25000,25000-D111,F108)</f>
        <v>0</v>
      </c>
      <c r="G111" s="183"/>
      <c r="H111" s="171">
        <f>IF((D111+H108+F111)&gt;25000,25000-(D111+F111),H108)</f>
        <v>0</v>
      </c>
      <c r="I111" s="183"/>
      <c r="J111" s="171">
        <f>IF((D111+F111+J108+H111)&gt;25000,25000-(D111+F111+H111),J108)</f>
        <v>0</v>
      </c>
      <c r="K111" s="183"/>
      <c r="L111" s="171">
        <f>IF((D111+F111+H111+J111+L108)&gt;25000,25000-(D111+F111+H111+J111),L108)</f>
        <v>0</v>
      </c>
    </row>
    <row r="112" spans="1:16" x14ac:dyDescent="0.2">
      <c r="D112" s="171"/>
      <c r="E112" s="183"/>
      <c r="F112" s="171"/>
      <c r="G112" s="183"/>
      <c r="H112" s="119"/>
      <c r="I112" s="183"/>
      <c r="J112" s="119"/>
      <c r="K112" s="183"/>
      <c r="L112" s="119"/>
    </row>
    <row r="113" spans="1:15" x14ac:dyDescent="0.2">
      <c r="D113" s="171"/>
      <c r="E113" s="183"/>
      <c r="F113" s="171"/>
      <c r="G113" s="183"/>
      <c r="H113" s="119"/>
      <c r="I113" s="183"/>
      <c r="J113" s="119"/>
      <c r="K113" s="183"/>
      <c r="L113" s="119"/>
    </row>
    <row r="114" spans="1:15" x14ac:dyDescent="0.2">
      <c r="A114" s="186" t="s">
        <v>684</v>
      </c>
      <c r="B114" s="186"/>
      <c r="C114" s="186"/>
      <c r="D114" s="187">
        <f>+D95+D102+D108</f>
        <v>0</v>
      </c>
      <c r="E114" s="188"/>
      <c r="F114" s="187">
        <f>+F95+F102+F108</f>
        <v>0</v>
      </c>
      <c r="G114" s="188"/>
      <c r="H114" s="187">
        <f>+H95+H102+H108</f>
        <v>0</v>
      </c>
      <c r="I114" s="188"/>
      <c r="J114" s="187">
        <f>+J95+J102+J108</f>
        <v>0</v>
      </c>
      <c r="K114" s="188"/>
      <c r="L114" s="187">
        <f>+L95+L102+L108</f>
        <v>0</v>
      </c>
    </row>
    <row r="115" spans="1:15" x14ac:dyDescent="0.2">
      <c r="D115" s="171"/>
      <c r="E115" s="183"/>
      <c r="F115" s="171"/>
      <c r="G115" s="183"/>
      <c r="H115" s="119"/>
      <c r="I115" s="183"/>
      <c r="J115" s="119"/>
      <c r="K115" s="183"/>
      <c r="L115" s="119"/>
    </row>
    <row r="116" spans="1:15" x14ac:dyDescent="0.2">
      <c r="A116" s="225" t="s">
        <v>685</v>
      </c>
      <c r="D116" s="171">
        <f>+D114+D89+D85+D69+D62+D53</f>
        <v>0</v>
      </c>
      <c r="E116" s="183"/>
      <c r="F116" s="171">
        <f>+F114+F89+F85+F69+F62+F53</f>
        <v>0</v>
      </c>
      <c r="G116" s="183"/>
      <c r="H116" s="171">
        <f>+H114+H89+H85+H69+H62+H53</f>
        <v>0</v>
      </c>
      <c r="I116" s="183"/>
      <c r="J116" s="171">
        <f>+J114+J89+J85+J69+J62+J53</f>
        <v>0</v>
      </c>
      <c r="K116" s="183"/>
      <c r="L116" s="171">
        <f>+L114+L89+L85+L69+L62+L53</f>
        <v>0</v>
      </c>
      <c r="O116" s="171"/>
    </row>
    <row r="117" spans="1:15" x14ac:dyDescent="0.2">
      <c r="A117" s="225"/>
      <c r="D117" s="171"/>
      <c r="E117" s="183"/>
      <c r="F117" s="171"/>
      <c r="G117" s="183"/>
      <c r="H117" s="119"/>
      <c r="I117" s="183"/>
      <c r="J117" s="119"/>
      <c r="K117" s="183"/>
      <c r="L117" s="119"/>
    </row>
    <row r="118" spans="1:15" x14ac:dyDescent="0.2">
      <c r="A118" s="66" t="s">
        <v>686</v>
      </c>
      <c r="B118" s="226"/>
      <c r="C118" s="226"/>
      <c r="D118" s="227">
        <f>+D116-D97-D104-D110</f>
        <v>0</v>
      </c>
      <c r="E118" s="228"/>
      <c r="F118" s="227">
        <f>+F116-F97-F104-F110</f>
        <v>0</v>
      </c>
      <c r="G118" s="228"/>
      <c r="H118" s="227">
        <f>+H116-H97-H104-H110</f>
        <v>0</v>
      </c>
      <c r="I118" s="228"/>
      <c r="J118" s="227">
        <f>+J116-J97-J104-J110</f>
        <v>0</v>
      </c>
      <c r="K118" s="228"/>
      <c r="L118" s="227">
        <f>+L116-L97-L104-L110</f>
        <v>0</v>
      </c>
    </row>
    <row r="119" spans="1:15" x14ac:dyDescent="0.2">
      <c r="A119" s="225"/>
      <c r="D119" s="171"/>
      <c r="E119" s="183"/>
      <c r="F119" s="171"/>
      <c r="G119" s="183"/>
      <c r="H119" s="119"/>
      <c r="I119" s="183"/>
      <c r="J119" s="119"/>
      <c r="K119" s="183"/>
      <c r="L119" s="119"/>
    </row>
    <row r="120" spans="1:15" x14ac:dyDescent="0.2">
      <c r="A120" s="225" t="s">
        <v>687</v>
      </c>
      <c r="D120" s="171">
        <f>D53+D62+D69+(D85-D80-D81)+(D98+D105+D111)</f>
        <v>0</v>
      </c>
      <c r="E120" s="183"/>
      <c r="F120" s="171">
        <f>F53+F62+F69+(F85-F80-F81)+(F98+F105+F111)</f>
        <v>0</v>
      </c>
      <c r="G120" s="183"/>
      <c r="H120" s="171">
        <f>H53+H62+H69+(H85-H80-H81)+(H98+H105+H111)</f>
        <v>0</v>
      </c>
      <c r="I120" s="183"/>
      <c r="J120" s="171">
        <f>J53+J62+J69+(J85-J80-J81)+(J98+J105+J111)</f>
        <v>0</v>
      </c>
      <c r="K120" s="183"/>
      <c r="L120" s="171">
        <f>L53+L62+L69+(L85-L80-L81)+(L98+L105+L111)</f>
        <v>0</v>
      </c>
    </row>
    <row r="121" spans="1:15" x14ac:dyDescent="0.2">
      <c r="D121" s="171"/>
      <c r="E121" s="183"/>
      <c r="F121" s="171"/>
      <c r="G121" s="183"/>
      <c r="H121" s="119"/>
      <c r="I121" s="183"/>
      <c r="J121" s="119"/>
      <c r="K121" s="183"/>
      <c r="L121" s="119"/>
    </row>
    <row r="122" spans="1:15" x14ac:dyDescent="0.2">
      <c r="A122" s="225" t="s">
        <v>688</v>
      </c>
      <c r="B122" s="229">
        <v>0.59499999999999997</v>
      </c>
      <c r="C122" s="230">
        <v>6</v>
      </c>
      <c r="D122" s="171">
        <f>ROUND((D120/12*C122)*B122,0)</f>
        <v>0</v>
      </c>
      <c r="E122" s="183"/>
      <c r="F122" s="171">
        <f>ROUND(+F120*$B$123,0)</f>
        <v>0</v>
      </c>
      <c r="G122" s="183"/>
      <c r="H122" s="171">
        <f>ROUND(+H120*$B$123,0)</f>
        <v>0</v>
      </c>
      <c r="I122" s="183"/>
      <c r="J122" s="171">
        <f>ROUND(+J120*$B$123,0)</f>
        <v>0</v>
      </c>
      <c r="K122" s="183"/>
      <c r="L122" s="171">
        <f>ROUND(+L120*$B$123,0)</f>
        <v>0</v>
      </c>
    </row>
    <row r="123" spans="1:15" x14ac:dyDescent="0.2">
      <c r="A123" s="225" t="s">
        <v>689</v>
      </c>
      <c r="B123" s="229">
        <v>0.6</v>
      </c>
      <c r="C123" s="231">
        <f>12-C122</f>
        <v>6</v>
      </c>
      <c r="D123" s="171">
        <f>ROUND((D120/12*C123)*B123,0)</f>
        <v>0</v>
      </c>
      <c r="E123" s="183"/>
      <c r="F123" s="171"/>
      <c r="G123" s="183"/>
      <c r="H123" s="171"/>
      <c r="I123" s="183"/>
      <c r="J123" s="171"/>
      <c r="K123" s="183"/>
      <c r="L123" s="171"/>
    </row>
    <row r="124" spans="1:15" x14ac:dyDescent="0.2">
      <c r="A124" s="225"/>
      <c r="D124" s="171"/>
      <c r="E124" s="183"/>
      <c r="F124" s="171"/>
      <c r="G124" s="183"/>
      <c r="H124" s="119"/>
      <c r="I124" s="183"/>
      <c r="J124" s="119"/>
      <c r="K124" s="183"/>
      <c r="L124" s="119"/>
    </row>
    <row r="125" spans="1:15" x14ac:dyDescent="0.2">
      <c r="A125" s="232" t="s">
        <v>690</v>
      </c>
      <c r="B125" s="233"/>
      <c r="C125" s="233"/>
      <c r="D125" s="234">
        <f>+D116+D122+D123</f>
        <v>0</v>
      </c>
      <c r="E125" s="235"/>
      <c r="F125" s="234">
        <f>+F116+F122+F123</f>
        <v>0</v>
      </c>
      <c r="G125" s="235"/>
      <c r="H125" s="234">
        <f>+H116+H122+H123</f>
        <v>0</v>
      </c>
      <c r="I125" s="235"/>
      <c r="J125" s="234">
        <f>+J116+J122+J123</f>
        <v>0</v>
      </c>
      <c r="K125" s="235"/>
      <c r="L125" s="234">
        <f>+L116+L122+L123</f>
        <v>0</v>
      </c>
      <c r="N125" s="216"/>
      <c r="O125" s="171"/>
    </row>
    <row r="126" spans="1:15" x14ac:dyDescent="0.2">
      <c r="J126" s="71"/>
      <c r="L126" s="71"/>
    </row>
    <row r="127" spans="1:15" x14ac:dyDescent="0.2">
      <c r="A127" s="225"/>
      <c r="C127" s="236"/>
      <c r="D127" s="237"/>
      <c r="F127" s="237"/>
      <c r="H127" s="237"/>
      <c r="J127" s="237"/>
      <c r="L127" s="237"/>
    </row>
    <row r="128" spans="1:15" x14ac:dyDescent="0.2">
      <c r="A128" s="225"/>
      <c r="C128" s="236"/>
      <c r="D128" s="237"/>
      <c r="F128" s="237"/>
      <c r="H128" s="237"/>
      <c r="J128" s="237"/>
      <c r="L128" s="237"/>
      <c r="M128" s="171"/>
    </row>
    <row r="129" spans="1:12" x14ac:dyDescent="0.2">
      <c r="F129" s="171"/>
      <c r="J129" s="119"/>
      <c r="L129" s="119"/>
    </row>
    <row r="130" spans="1:12" x14ac:dyDescent="0.2">
      <c r="A130" s="238" t="s">
        <v>691</v>
      </c>
    </row>
    <row r="131" spans="1:12" ht="15" x14ac:dyDescent="0.25">
      <c r="A131" s="69" t="s">
        <v>692</v>
      </c>
      <c r="B131" s="239">
        <v>0.40600000000000003</v>
      </c>
    </row>
    <row r="132" spans="1:12" ht="15" x14ac:dyDescent="0.25">
      <c r="A132" s="69" t="s">
        <v>693</v>
      </c>
      <c r="B132" s="239">
        <v>0.59699999999999998</v>
      </c>
      <c r="H132" s="69"/>
    </row>
    <row r="133" spans="1:12" ht="15" x14ac:dyDescent="0.25">
      <c r="A133" s="69" t="s">
        <v>694</v>
      </c>
      <c r="B133" s="239">
        <v>0.11899999999999999</v>
      </c>
      <c r="H133" s="69"/>
    </row>
    <row r="134" spans="1:12" ht="15" x14ac:dyDescent="0.25">
      <c r="A134" s="128" t="s">
        <v>695</v>
      </c>
      <c r="B134" s="239">
        <v>7.0999999999999994E-2</v>
      </c>
      <c r="H134" s="69"/>
    </row>
  </sheetData>
  <mergeCells count="2">
    <mergeCell ref="M6:M8"/>
    <mergeCell ref="C8:C9"/>
  </mergeCells>
  <pageMargins left="0.25" right="0.25" top="0.25" bottom="0.25" header="0" footer="0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1"/>
  <sheetViews>
    <sheetView workbookViewId="0">
      <selection activeCell="L3" sqref="L3"/>
    </sheetView>
  </sheetViews>
  <sheetFormatPr defaultRowHeight="15" x14ac:dyDescent="0.25"/>
  <cols>
    <col min="4" max="4" width="33.42578125" bestFit="1" customWidth="1"/>
    <col min="12" max="12" width="21" customWidth="1"/>
  </cols>
  <sheetData>
    <row r="2" spans="1:13" x14ac:dyDescent="0.25">
      <c r="K2" s="63"/>
      <c r="L2" s="62"/>
      <c r="M2" s="63"/>
    </row>
    <row r="3" spans="1:13" ht="24" x14ac:dyDescent="0.25">
      <c r="A3" s="61"/>
      <c r="B3" t="s">
        <v>71</v>
      </c>
      <c r="D3" t="s">
        <v>77</v>
      </c>
      <c r="F3" t="s">
        <v>85</v>
      </c>
      <c r="H3" t="s">
        <v>87</v>
      </c>
      <c r="K3" s="63" t="s">
        <v>111</v>
      </c>
      <c r="L3" s="62" t="s">
        <v>596</v>
      </c>
      <c r="M3" s="63">
        <v>840</v>
      </c>
    </row>
    <row r="4" spans="1:13" x14ac:dyDescent="0.25">
      <c r="A4" s="61"/>
      <c r="B4" t="s">
        <v>72</v>
      </c>
      <c r="D4" t="s">
        <v>78</v>
      </c>
      <c r="F4" t="s">
        <v>86</v>
      </c>
      <c r="H4" t="s">
        <v>88</v>
      </c>
      <c r="K4" s="63" t="s">
        <v>112</v>
      </c>
      <c r="L4" s="62" t="s">
        <v>360</v>
      </c>
      <c r="M4" s="63">
        <v>4</v>
      </c>
    </row>
    <row r="5" spans="1:13" x14ac:dyDescent="0.25">
      <c r="A5" s="61"/>
      <c r="B5" t="s">
        <v>73</v>
      </c>
      <c r="D5" t="s">
        <v>79</v>
      </c>
      <c r="H5" t="s">
        <v>89</v>
      </c>
      <c r="K5" s="63" t="s">
        <v>113</v>
      </c>
      <c r="L5" s="62" t="s">
        <v>361</v>
      </c>
      <c r="M5" s="63">
        <v>248</v>
      </c>
    </row>
    <row r="6" spans="1:13" x14ac:dyDescent="0.25">
      <c r="A6" s="61"/>
      <c r="B6" t="s">
        <v>74</v>
      </c>
      <c r="D6" t="s">
        <v>80</v>
      </c>
      <c r="H6" t="s">
        <v>90</v>
      </c>
      <c r="K6" s="63" t="s">
        <v>114</v>
      </c>
      <c r="L6" s="62" t="s">
        <v>362</v>
      </c>
      <c r="M6" s="63">
        <v>8</v>
      </c>
    </row>
    <row r="7" spans="1:13" x14ac:dyDescent="0.25">
      <c r="A7" s="61"/>
      <c r="B7" t="s">
        <v>75</v>
      </c>
      <c r="D7" t="s">
        <v>81</v>
      </c>
      <c r="H7" t="s">
        <v>91</v>
      </c>
      <c r="K7" s="63" t="s">
        <v>115</v>
      </c>
      <c r="L7" s="62" t="s">
        <v>363</v>
      </c>
      <c r="M7" s="63">
        <v>12</v>
      </c>
    </row>
    <row r="8" spans="1:13" x14ac:dyDescent="0.25">
      <c r="A8" s="61"/>
      <c r="B8" t="s">
        <v>76</v>
      </c>
      <c r="D8" t="s">
        <v>82</v>
      </c>
      <c r="H8" t="s">
        <v>92</v>
      </c>
      <c r="K8" s="63" t="s">
        <v>116</v>
      </c>
      <c r="L8" s="62" t="s">
        <v>364</v>
      </c>
      <c r="M8" s="63">
        <v>16</v>
      </c>
    </row>
    <row r="9" spans="1:13" x14ac:dyDescent="0.25">
      <c r="A9" s="61"/>
      <c r="D9" t="s">
        <v>83</v>
      </c>
      <c r="H9" t="s">
        <v>93</v>
      </c>
      <c r="K9" s="63" t="s">
        <v>117</v>
      </c>
      <c r="L9" s="62" t="s">
        <v>365</v>
      </c>
      <c r="M9" s="63">
        <v>20</v>
      </c>
    </row>
    <row r="10" spans="1:13" x14ac:dyDescent="0.25">
      <c r="A10" s="61"/>
      <c r="D10" t="s">
        <v>84</v>
      </c>
      <c r="H10" t="s">
        <v>94</v>
      </c>
      <c r="K10" s="63" t="s">
        <v>118</v>
      </c>
      <c r="L10" s="62" t="s">
        <v>366</v>
      </c>
      <c r="M10" s="63">
        <v>24</v>
      </c>
    </row>
    <row r="11" spans="1:13" x14ac:dyDescent="0.25">
      <c r="A11" s="61"/>
      <c r="H11" t="s">
        <v>95</v>
      </c>
      <c r="K11" s="63" t="s">
        <v>119</v>
      </c>
      <c r="L11" s="62" t="s">
        <v>367</v>
      </c>
      <c r="M11" s="63">
        <v>660</v>
      </c>
    </row>
    <row r="12" spans="1:13" x14ac:dyDescent="0.25">
      <c r="A12" s="61"/>
      <c r="K12" s="63" t="s">
        <v>120</v>
      </c>
      <c r="L12" s="62" t="s">
        <v>368</v>
      </c>
      <c r="M12" s="63">
        <v>10</v>
      </c>
    </row>
    <row r="13" spans="1:13" ht="24" x14ac:dyDescent="0.25">
      <c r="A13" s="61"/>
      <c r="D13" t="s">
        <v>96</v>
      </c>
      <c r="F13" t="s">
        <v>103</v>
      </c>
      <c r="H13" t="s">
        <v>70</v>
      </c>
      <c r="K13" s="63" t="s">
        <v>121</v>
      </c>
      <c r="L13" s="62" t="s">
        <v>369</v>
      </c>
      <c r="M13" s="63">
        <v>28</v>
      </c>
    </row>
    <row r="14" spans="1:13" x14ac:dyDescent="0.25">
      <c r="A14" s="61"/>
      <c r="D14" t="s">
        <v>97</v>
      </c>
      <c r="F14" t="s">
        <v>104</v>
      </c>
      <c r="H14" t="s">
        <v>108</v>
      </c>
      <c r="K14" s="63" t="s">
        <v>122</v>
      </c>
      <c r="L14" s="62" t="s">
        <v>370</v>
      </c>
      <c r="M14" s="63">
        <v>32</v>
      </c>
    </row>
    <row r="15" spans="1:13" x14ac:dyDescent="0.25">
      <c r="A15" s="61"/>
      <c r="D15" t="s">
        <v>98</v>
      </c>
      <c r="F15" t="s">
        <v>105</v>
      </c>
      <c r="H15" t="s">
        <v>109</v>
      </c>
      <c r="K15" s="63" t="s">
        <v>123</v>
      </c>
      <c r="L15" s="62" t="s">
        <v>371</v>
      </c>
      <c r="M15" s="63">
        <v>51</v>
      </c>
    </row>
    <row r="16" spans="1:13" x14ac:dyDescent="0.25">
      <c r="A16" s="61"/>
      <c r="D16" t="s">
        <v>99</v>
      </c>
      <c r="F16" t="s">
        <v>106</v>
      </c>
      <c r="K16" s="63" t="s">
        <v>124</v>
      </c>
      <c r="L16" s="62" t="s">
        <v>372</v>
      </c>
      <c r="M16" s="63">
        <v>533</v>
      </c>
    </row>
    <row r="17" spans="1:13" x14ac:dyDescent="0.25">
      <c r="A17" s="61"/>
      <c r="D17" t="s">
        <v>100</v>
      </c>
      <c r="F17" t="s">
        <v>107</v>
      </c>
      <c r="K17" s="63" t="s">
        <v>125</v>
      </c>
      <c r="L17" s="62" t="s">
        <v>373</v>
      </c>
      <c r="M17" s="63">
        <v>36</v>
      </c>
    </row>
    <row r="18" spans="1:13" x14ac:dyDescent="0.25">
      <c r="A18" s="61"/>
      <c r="D18" t="s">
        <v>101</v>
      </c>
      <c r="F18" t="s">
        <v>95</v>
      </c>
      <c r="K18" s="63" t="s">
        <v>126</v>
      </c>
      <c r="L18" s="62" t="s">
        <v>374</v>
      </c>
      <c r="M18" s="63">
        <v>40</v>
      </c>
    </row>
    <row r="19" spans="1:13" x14ac:dyDescent="0.25">
      <c r="A19" s="61"/>
      <c r="D19" t="s">
        <v>102</v>
      </c>
      <c r="K19" s="63" t="s">
        <v>127</v>
      </c>
      <c r="L19" s="62" t="s">
        <v>375</v>
      </c>
      <c r="M19" s="63">
        <v>31</v>
      </c>
    </row>
    <row r="20" spans="1:13" x14ac:dyDescent="0.25">
      <c r="A20" s="61"/>
      <c r="D20" t="s">
        <v>95</v>
      </c>
      <c r="K20" s="63" t="s">
        <v>128</v>
      </c>
      <c r="L20" s="62" t="s">
        <v>376</v>
      </c>
      <c r="M20" s="63">
        <v>44</v>
      </c>
    </row>
    <row r="21" spans="1:13" x14ac:dyDescent="0.25">
      <c r="A21" s="61"/>
      <c r="K21" s="63" t="s">
        <v>129</v>
      </c>
      <c r="L21" s="62" t="s">
        <v>377</v>
      </c>
      <c r="M21" s="63">
        <v>48</v>
      </c>
    </row>
    <row r="22" spans="1:13" x14ac:dyDescent="0.25">
      <c r="A22" s="61"/>
      <c r="K22" s="63" t="s">
        <v>130</v>
      </c>
      <c r="L22" s="62" t="s">
        <v>378</v>
      </c>
      <c r="M22" s="63">
        <v>50</v>
      </c>
    </row>
    <row r="23" spans="1:13" x14ac:dyDescent="0.25">
      <c r="A23" s="61"/>
      <c r="K23" s="63" t="s">
        <v>131</v>
      </c>
      <c r="L23" s="62" t="s">
        <v>379</v>
      </c>
      <c r="M23" s="63">
        <v>52</v>
      </c>
    </row>
    <row r="24" spans="1:13" x14ac:dyDescent="0.25">
      <c r="A24" s="61"/>
      <c r="K24" s="63" t="s">
        <v>132</v>
      </c>
      <c r="L24" s="62" t="s">
        <v>380</v>
      </c>
      <c r="M24" s="63">
        <v>112</v>
      </c>
    </row>
    <row r="25" spans="1:13" x14ac:dyDescent="0.25">
      <c r="A25" s="61"/>
      <c r="K25" s="63" t="s">
        <v>133</v>
      </c>
      <c r="L25" s="62" t="s">
        <v>381</v>
      </c>
      <c r="M25" s="63">
        <v>56</v>
      </c>
    </row>
    <row r="26" spans="1:13" x14ac:dyDescent="0.25">
      <c r="A26" s="61"/>
      <c r="K26" s="63" t="s">
        <v>134</v>
      </c>
      <c r="L26" s="62" t="s">
        <v>382</v>
      </c>
      <c r="M26" s="63">
        <v>84</v>
      </c>
    </row>
    <row r="27" spans="1:13" x14ac:dyDescent="0.25">
      <c r="A27" s="61"/>
      <c r="K27" s="63" t="s">
        <v>135</v>
      </c>
      <c r="L27" s="62" t="s">
        <v>383</v>
      </c>
      <c r="M27" s="63">
        <v>204</v>
      </c>
    </row>
    <row r="28" spans="1:13" x14ac:dyDescent="0.25">
      <c r="A28" s="61"/>
      <c r="K28" s="63" t="s">
        <v>136</v>
      </c>
      <c r="L28" s="62" t="s">
        <v>384</v>
      </c>
      <c r="M28" s="63">
        <v>60</v>
      </c>
    </row>
    <row r="29" spans="1:13" x14ac:dyDescent="0.25">
      <c r="A29" s="61"/>
      <c r="K29" s="63" t="s">
        <v>137</v>
      </c>
      <c r="L29" s="62" t="s">
        <v>385</v>
      </c>
      <c r="M29" s="63">
        <v>64</v>
      </c>
    </row>
    <row r="30" spans="1:13" ht="24" x14ac:dyDescent="0.25">
      <c r="A30" s="61"/>
      <c r="K30" s="63" t="s">
        <v>138</v>
      </c>
      <c r="L30" s="62" t="s">
        <v>386</v>
      </c>
      <c r="M30" s="63">
        <v>68</v>
      </c>
    </row>
    <row r="31" spans="1:13" ht="24" x14ac:dyDescent="0.25">
      <c r="A31" s="61"/>
      <c r="K31" s="63" t="s">
        <v>139</v>
      </c>
      <c r="L31" s="62" t="s">
        <v>387</v>
      </c>
      <c r="M31" s="63">
        <v>535</v>
      </c>
    </row>
    <row r="32" spans="1:13" ht="24" x14ac:dyDescent="0.25">
      <c r="A32" s="61"/>
      <c r="K32" s="63" t="s">
        <v>140</v>
      </c>
      <c r="L32" s="62" t="s">
        <v>388</v>
      </c>
      <c r="M32" s="63">
        <v>70</v>
      </c>
    </row>
    <row r="33" spans="1:13" x14ac:dyDescent="0.25">
      <c r="A33" s="61"/>
      <c r="K33" s="63" t="s">
        <v>141</v>
      </c>
      <c r="L33" s="62" t="s">
        <v>389</v>
      </c>
      <c r="M33" s="63">
        <v>72</v>
      </c>
    </row>
    <row r="34" spans="1:13" x14ac:dyDescent="0.25">
      <c r="A34" s="61"/>
      <c r="K34" s="63" t="s">
        <v>142</v>
      </c>
      <c r="L34" s="62" t="s">
        <v>390</v>
      </c>
      <c r="M34" s="63">
        <v>74</v>
      </c>
    </row>
    <row r="35" spans="1:13" x14ac:dyDescent="0.25">
      <c r="A35" s="61"/>
      <c r="K35" s="63" t="s">
        <v>143</v>
      </c>
      <c r="L35" s="62" t="s">
        <v>391</v>
      </c>
      <c r="M35" s="63">
        <v>76</v>
      </c>
    </row>
    <row r="36" spans="1:13" ht="24" x14ac:dyDescent="0.25">
      <c r="A36" s="61"/>
      <c r="K36" s="63" t="s">
        <v>144</v>
      </c>
      <c r="L36" s="62" t="s">
        <v>392</v>
      </c>
      <c r="M36" s="63">
        <v>86</v>
      </c>
    </row>
    <row r="37" spans="1:13" ht="24" x14ac:dyDescent="0.25">
      <c r="A37" s="61"/>
      <c r="K37" s="63" t="s">
        <v>145</v>
      </c>
      <c r="L37" s="62" t="s">
        <v>393</v>
      </c>
      <c r="M37" s="63">
        <v>92</v>
      </c>
    </row>
    <row r="38" spans="1:13" ht="24" x14ac:dyDescent="0.25">
      <c r="A38" s="61"/>
      <c r="K38" s="63" t="s">
        <v>146</v>
      </c>
      <c r="L38" s="62" t="s">
        <v>394</v>
      </c>
      <c r="M38" s="63">
        <v>96</v>
      </c>
    </row>
    <row r="39" spans="1:13" x14ac:dyDescent="0.25">
      <c r="A39" s="61"/>
      <c r="K39" s="63" t="s">
        <v>147</v>
      </c>
      <c r="L39" s="62" t="s">
        <v>395</v>
      </c>
      <c r="M39" s="63">
        <v>100</v>
      </c>
    </row>
    <row r="40" spans="1:13" x14ac:dyDescent="0.25">
      <c r="A40" s="61"/>
      <c r="K40" s="63" t="s">
        <v>148</v>
      </c>
      <c r="L40" s="62" t="s">
        <v>396</v>
      </c>
      <c r="M40" s="63">
        <v>854</v>
      </c>
    </row>
    <row r="41" spans="1:13" x14ac:dyDescent="0.25">
      <c r="A41" s="61"/>
      <c r="K41" s="63" t="s">
        <v>149</v>
      </c>
      <c r="L41" s="62" t="s">
        <v>397</v>
      </c>
      <c r="M41" s="63">
        <v>108</v>
      </c>
    </row>
    <row r="42" spans="1:13" x14ac:dyDescent="0.25">
      <c r="A42" s="61"/>
      <c r="K42" s="63" t="s">
        <v>150</v>
      </c>
      <c r="L42" s="62" t="s">
        <v>398</v>
      </c>
      <c r="M42" s="63">
        <v>132</v>
      </c>
    </row>
    <row r="43" spans="1:13" x14ac:dyDescent="0.25">
      <c r="A43" s="61"/>
      <c r="K43" s="63" t="s">
        <v>151</v>
      </c>
      <c r="L43" s="62" t="s">
        <v>399</v>
      </c>
      <c r="M43" s="63">
        <v>116</v>
      </c>
    </row>
    <row r="44" spans="1:13" x14ac:dyDescent="0.25">
      <c r="A44" s="61"/>
      <c r="K44" s="63" t="s">
        <v>152</v>
      </c>
      <c r="L44" s="62" t="s">
        <v>400</v>
      </c>
      <c r="M44" s="63">
        <v>120</v>
      </c>
    </row>
    <row r="45" spans="1:13" x14ac:dyDescent="0.25">
      <c r="A45" s="61"/>
      <c r="K45" s="63" t="s">
        <v>153</v>
      </c>
      <c r="L45" s="62" t="s">
        <v>401</v>
      </c>
      <c r="M45" s="63">
        <v>124</v>
      </c>
    </row>
    <row r="46" spans="1:13" x14ac:dyDescent="0.25">
      <c r="A46" s="61"/>
      <c r="K46" s="63" t="s">
        <v>154</v>
      </c>
      <c r="L46" s="62" t="s">
        <v>402</v>
      </c>
      <c r="M46" s="63">
        <v>136</v>
      </c>
    </row>
    <row r="47" spans="1:13" ht="24" x14ac:dyDescent="0.25">
      <c r="A47" s="61"/>
      <c r="K47" s="63" t="s">
        <v>155</v>
      </c>
      <c r="L47" s="62" t="s">
        <v>403</v>
      </c>
      <c r="M47" s="63">
        <v>140</v>
      </c>
    </row>
    <row r="48" spans="1:13" x14ac:dyDescent="0.25">
      <c r="A48" s="61"/>
      <c r="K48" s="63" t="s">
        <v>156</v>
      </c>
      <c r="L48" s="62" t="s">
        <v>404</v>
      </c>
      <c r="M48" s="63">
        <v>148</v>
      </c>
    </row>
    <row r="49" spans="1:13" x14ac:dyDescent="0.25">
      <c r="A49" s="61"/>
      <c r="K49" s="63" t="s">
        <v>157</v>
      </c>
      <c r="L49" s="62" t="s">
        <v>405</v>
      </c>
      <c r="M49" s="63">
        <v>152</v>
      </c>
    </row>
    <row r="50" spans="1:13" x14ac:dyDescent="0.25">
      <c r="A50" s="61"/>
      <c r="K50" s="63" t="s">
        <v>158</v>
      </c>
      <c r="L50" s="62" t="s">
        <v>406</v>
      </c>
      <c r="M50" s="63">
        <v>156</v>
      </c>
    </row>
    <row r="51" spans="1:13" ht="36" x14ac:dyDescent="0.25">
      <c r="A51" s="61"/>
      <c r="K51" s="63" t="s">
        <v>159</v>
      </c>
      <c r="L51" s="62" t="s">
        <v>407</v>
      </c>
      <c r="M51" s="63">
        <v>344</v>
      </c>
    </row>
    <row r="52" spans="1:13" ht="36" x14ac:dyDescent="0.25">
      <c r="A52" s="61"/>
      <c r="K52" s="63" t="s">
        <v>160</v>
      </c>
      <c r="L52" s="62" t="s">
        <v>408</v>
      </c>
      <c r="M52" s="63">
        <v>446</v>
      </c>
    </row>
    <row r="53" spans="1:13" x14ac:dyDescent="0.25">
      <c r="A53" s="61"/>
      <c r="K53" s="63" t="s">
        <v>161</v>
      </c>
      <c r="L53" s="62" t="s">
        <v>409</v>
      </c>
      <c r="M53" s="63">
        <v>162</v>
      </c>
    </row>
    <row r="54" spans="1:13" ht="24" x14ac:dyDescent="0.25">
      <c r="A54" s="61"/>
      <c r="K54" s="63" t="s">
        <v>162</v>
      </c>
      <c r="L54" s="62" t="s">
        <v>410</v>
      </c>
      <c r="M54" s="63">
        <v>166</v>
      </c>
    </row>
    <row r="55" spans="1:13" x14ac:dyDescent="0.25">
      <c r="A55" s="61"/>
      <c r="K55" s="63" t="s">
        <v>163</v>
      </c>
      <c r="L55" s="62" t="s">
        <v>411</v>
      </c>
      <c r="M55" s="63">
        <v>170</v>
      </c>
    </row>
    <row r="56" spans="1:13" x14ac:dyDescent="0.25">
      <c r="A56" s="61"/>
      <c r="K56" s="63" t="s">
        <v>164</v>
      </c>
      <c r="L56" s="62" t="s">
        <v>412</v>
      </c>
      <c r="M56" s="63">
        <v>174</v>
      </c>
    </row>
    <row r="57" spans="1:13" x14ac:dyDescent="0.25">
      <c r="A57" s="61"/>
      <c r="K57" s="63" t="s">
        <v>165</v>
      </c>
      <c r="L57" s="62" t="s">
        <v>413</v>
      </c>
      <c r="M57" s="63">
        <v>178</v>
      </c>
    </row>
    <row r="58" spans="1:13" x14ac:dyDescent="0.25">
      <c r="A58" s="61"/>
      <c r="K58" s="63" t="s">
        <v>166</v>
      </c>
      <c r="L58" s="62" t="s">
        <v>414</v>
      </c>
      <c r="M58" s="63">
        <v>184</v>
      </c>
    </row>
    <row r="59" spans="1:13" x14ac:dyDescent="0.25">
      <c r="A59" s="61"/>
      <c r="K59" s="63" t="s">
        <v>167</v>
      </c>
      <c r="L59" s="62" t="s">
        <v>415</v>
      </c>
      <c r="M59" s="63">
        <v>188</v>
      </c>
    </row>
    <row r="60" spans="1:13" x14ac:dyDescent="0.25">
      <c r="A60" s="61"/>
      <c r="K60" s="63" t="s">
        <v>168</v>
      </c>
      <c r="L60" s="62" t="s">
        <v>416</v>
      </c>
      <c r="M60" s="63">
        <v>384</v>
      </c>
    </row>
    <row r="61" spans="1:13" x14ac:dyDescent="0.25">
      <c r="A61" s="61"/>
      <c r="K61" s="63" t="s">
        <v>169</v>
      </c>
      <c r="L61" s="62" t="s">
        <v>417</v>
      </c>
      <c r="M61" s="63">
        <v>191</v>
      </c>
    </row>
    <row r="62" spans="1:13" x14ac:dyDescent="0.25">
      <c r="A62" s="61"/>
      <c r="K62" s="63" t="s">
        <v>170</v>
      </c>
      <c r="L62" s="62" t="s">
        <v>418</v>
      </c>
      <c r="M62" s="63">
        <v>192</v>
      </c>
    </row>
    <row r="63" spans="1:13" x14ac:dyDescent="0.25">
      <c r="A63" s="61"/>
      <c r="K63" s="63" t="s">
        <v>171</v>
      </c>
      <c r="L63" s="62" t="s">
        <v>419</v>
      </c>
      <c r="M63" s="63">
        <v>531</v>
      </c>
    </row>
    <row r="64" spans="1:13" x14ac:dyDescent="0.25">
      <c r="A64" s="61"/>
      <c r="K64" s="63" t="s">
        <v>172</v>
      </c>
      <c r="L64" s="62" t="s">
        <v>420</v>
      </c>
      <c r="M64" s="63">
        <v>196</v>
      </c>
    </row>
    <row r="65" spans="1:13" x14ac:dyDescent="0.25">
      <c r="A65" s="61"/>
      <c r="K65" s="63" t="s">
        <v>173</v>
      </c>
      <c r="L65" s="62" t="s">
        <v>421</v>
      </c>
      <c r="M65" s="63">
        <v>203</v>
      </c>
    </row>
    <row r="66" spans="1:13" ht="36" x14ac:dyDescent="0.25">
      <c r="A66" s="61"/>
      <c r="K66" s="63" t="s">
        <v>174</v>
      </c>
      <c r="L66" s="62" t="s">
        <v>422</v>
      </c>
      <c r="M66" s="63">
        <v>408</v>
      </c>
    </row>
    <row r="67" spans="1:13" ht="24" x14ac:dyDescent="0.25">
      <c r="A67" s="61"/>
      <c r="K67" s="63" t="s">
        <v>175</v>
      </c>
      <c r="L67" s="62" t="s">
        <v>423</v>
      </c>
      <c r="M67" s="63">
        <v>180</v>
      </c>
    </row>
    <row r="68" spans="1:13" x14ac:dyDescent="0.25">
      <c r="A68" s="61"/>
      <c r="K68" s="63" t="s">
        <v>176</v>
      </c>
      <c r="L68" s="62" t="s">
        <v>424</v>
      </c>
      <c r="M68" s="63">
        <v>208</v>
      </c>
    </row>
    <row r="69" spans="1:13" x14ac:dyDescent="0.25">
      <c r="A69" s="61"/>
      <c r="K69" s="63" t="s">
        <v>177</v>
      </c>
      <c r="L69" s="62" t="s">
        <v>425</v>
      </c>
      <c r="M69" s="63">
        <v>262</v>
      </c>
    </row>
    <row r="70" spans="1:13" x14ac:dyDescent="0.25">
      <c r="A70" s="61"/>
      <c r="K70" s="63" t="s">
        <v>178</v>
      </c>
      <c r="L70" s="62" t="s">
        <v>426</v>
      </c>
      <c r="M70" s="63">
        <v>212</v>
      </c>
    </row>
    <row r="71" spans="1:13" ht="24" x14ac:dyDescent="0.25">
      <c r="A71" s="61"/>
      <c r="K71" s="63" t="s">
        <v>179</v>
      </c>
      <c r="L71" s="62" t="s">
        <v>427</v>
      </c>
      <c r="M71" s="63">
        <v>214</v>
      </c>
    </row>
    <row r="72" spans="1:13" x14ac:dyDescent="0.25">
      <c r="A72" s="61"/>
      <c r="K72" s="63" t="s">
        <v>180</v>
      </c>
      <c r="L72" s="62" t="s">
        <v>428</v>
      </c>
      <c r="M72" s="63">
        <v>218</v>
      </c>
    </row>
    <row r="73" spans="1:13" x14ac:dyDescent="0.25">
      <c r="A73" s="61"/>
      <c r="K73" s="63" t="s">
        <v>181</v>
      </c>
      <c r="L73" s="62" t="s">
        <v>429</v>
      </c>
      <c r="M73" s="63">
        <v>818</v>
      </c>
    </row>
    <row r="74" spans="1:13" x14ac:dyDescent="0.25">
      <c r="A74" s="61"/>
      <c r="K74" s="63" t="s">
        <v>182</v>
      </c>
      <c r="L74" s="62" t="s">
        <v>430</v>
      </c>
      <c r="M74" s="63">
        <v>222</v>
      </c>
    </row>
    <row r="75" spans="1:13" x14ac:dyDescent="0.25">
      <c r="A75" s="61"/>
      <c r="K75" s="63" t="s">
        <v>183</v>
      </c>
      <c r="L75" s="62" t="s">
        <v>431</v>
      </c>
      <c r="M75" s="63">
        <v>226</v>
      </c>
    </row>
    <row r="76" spans="1:13" x14ac:dyDescent="0.25">
      <c r="A76" s="61"/>
      <c r="K76" s="63" t="s">
        <v>184</v>
      </c>
      <c r="L76" s="62" t="s">
        <v>432</v>
      </c>
      <c r="M76" s="63">
        <v>232</v>
      </c>
    </row>
    <row r="77" spans="1:13" x14ac:dyDescent="0.25">
      <c r="A77" s="61"/>
      <c r="K77" s="63" t="s">
        <v>185</v>
      </c>
      <c r="L77" s="62" t="s">
        <v>433</v>
      </c>
      <c r="M77" s="63">
        <v>233</v>
      </c>
    </row>
    <row r="78" spans="1:13" x14ac:dyDescent="0.25">
      <c r="A78" s="61"/>
      <c r="K78" s="63" t="s">
        <v>186</v>
      </c>
      <c r="L78" s="62" t="s">
        <v>434</v>
      </c>
      <c r="M78" s="63">
        <v>748</v>
      </c>
    </row>
    <row r="79" spans="1:13" x14ac:dyDescent="0.25">
      <c r="A79" s="61"/>
      <c r="K79" s="63" t="s">
        <v>187</v>
      </c>
      <c r="L79" s="62" t="s">
        <v>435</v>
      </c>
      <c r="M79" s="63">
        <v>231</v>
      </c>
    </row>
    <row r="80" spans="1:13" ht="24" x14ac:dyDescent="0.25">
      <c r="A80" s="61"/>
      <c r="K80" s="63" t="s">
        <v>188</v>
      </c>
      <c r="L80" s="62" t="s">
        <v>436</v>
      </c>
      <c r="M80" s="63">
        <v>238</v>
      </c>
    </row>
    <row r="81" spans="1:13" x14ac:dyDescent="0.25">
      <c r="A81" s="61"/>
      <c r="K81" s="63" t="s">
        <v>189</v>
      </c>
      <c r="L81" s="62" t="s">
        <v>437</v>
      </c>
      <c r="M81" s="63">
        <v>234</v>
      </c>
    </row>
    <row r="82" spans="1:13" x14ac:dyDescent="0.25">
      <c r="A82" s="61"/>
      <c r="K82" s="63" t="s">
        <v>190</v>
      </c>
      <c r="L82" s="62" t="s">
        <v>438</v>
      </c>
      <c r="M82" s="63">
        <v>242</v>
      </c>
    </row>
    <row r="83" spans="1:13" x14ac:dyDescent="0.25">
      <c r="A83" s="61"/>
      <c r="K83" s="63" t="s">
        <v>191</v>
      </c>
      <c r="L83" s="62" t="s">
        <v>439</v>
      </c>
      <c r="M83" s="63">
        <v>246</v>
      </c>
    </row>
    <row r="84" spans="1:13" x14ac:dyDescent="0.25">
      <c r="A84" s="61"/>
      <c r="K84" s="63" t="s">
        <v>192</v>
      </c>
      <c r="L84" s="62" t="s">
        <v>440</v>
      </c>
      <c r="M84" s="63">
        <v>250</v>
      </c>
    </row>
    <row r="85" spans="1:13" x14ac:dyDescent="0.25">
      <c r="A85" s="61"/>
      <c r="K85" s="63" t="s">
        <v>193</v>
      </c>
      <c r="L85" s="62" t="s">
        <v>441</v>
      </c>
      <c r="M85" s="63">
        <v>254</v>
      </c>
    </row>
    <row r="86" spans="1:13" x14ac:dyDescent="0.25">
      <c r="A86" s="61"/>
      <c r="K86" s="63" t="s">
        <v>194</v>
      </c>
      <c r="L86" s="62" t="s">
        <v>442</v>
      </c>
      <c r="M86" s="63">
        <v>258</v>
      </c>
    </row>
    <row r="87" spans="1:13" ht="24" x14ac:dyDescent="0.25">
      <c r="A87" s="61"/>
      <c r="K87" s="63" t="s">
        <v>195</v>
      </c>
      <c r="L87" s="62" t="s">
        <v>443</v>
      </c>
      <c r="M87" s="63">
        <v>260</v>
      </c>
    </row>
    <row r="88" spans="1:13" x14ac:dyDescent="0.25">
      <c r="A88" s="61"/>
      <c r="K88" s="63" t="s">
        <v>196</v>
      </c>
      <c r="L88" s="62" t="s">
        <v>444</v>
      </c>
      <c r="M88" s="63">
        <v>266</v>
      </c>
    </row>
    <row r="89" spans="1:13" x14ac:dyDescent="0.25">
      <c r="A89" s="61"/>
      <c r="K89" s="63" t="s">
        <v>197</v>
      </c>
      <c r="L89" s="62" t="s">
        <v>445</v>
      </c>
      <c r="M89" s="63">
        <v>270</v>
      </c>
    </row>
    <row r="90" spans="1:13" x14ac:dyDescent="0.25">
      <c r="A90" s="61"/>
      <c r="K90" s="63" t="s">
        <v>198</v>
      </c>
      <c r="L90" s="62" t="s">
        <v>446</v>
      </c>
      <c r="M90" s="63">
        <v>268</v>
      </c>
    </row>
    <row r="91" spans="1:13" x14ac:dyDescent="0.25">
      <c r="A91" s="61"/>
      <c r="K91" s="63" t="s">
        <v>199</v>
      </c>
      <c r="L91" s="62" t="s">
        <v>447</v>
      </c>
      <c r="M91" s="63">
        <v>276</v>
      </c>
    </row>
    <row r="92" spans="1:13" x14ac:dyDescent="0.25">
      <c r="A92" s="61"/>
      <c r="K92" s="63" t="s">
        <v>200</v>
      </c>
      <c r="L92" s="62" t="s">
        <v>448</v>
      </c>
      <c r="M92" s="63">
        <v>288</v>
      </c>
    </row>
    <row r="93" spans="1:13" x14ac:dyDescent="0.25">
      <c r="A93" s="61"/>
      <c r="K93" s="63" t="s">
        <v>201</v>
      </c>
      <c r="L93" s="62" t="s">
        <v>449</v>
      </c>
      <c r="M93" s="63">
        <v>292</v>
      </c>
    </row>
    <row r="94" spans="1:13" x14ac:dyDescent="0.25">
      <c r="A94" s="61"/>
      <c r="K94" s="63" t="s">
        <v>202</v>
      </c>
      <c r="L94" s="62" t="s">
        <v>450</v>
      </c>
      <c r="M94" s="63">
        <v>300</v>
      </c>
    </row>
    <row r="95" spans="1:13" x14ac:dyDescent="0.25">
      <c r="A95" s="61"/>
      <c r="K95" s="63" t="s">
        <v>203</v>
      </c>
      <c r="L95" s="62" t="s">
        <v>451</v>
      </c>
      <c r="M95" s="63">
        <v>304</v>
      </c>
    </row>
    <row r="96" spans="1:13" x14ac:dyDescent="0.25">
      <c r="A96" s="61"/>
      <c r="K96" s="63" t="s">
        <v>204</v>
      </c>
      <c r="L96" s="62" t="s">
        <v>452</v>
      </c>
      <c r="M96" s="63">
        <v>308</v>
      </c>
    </row>
    <row r="97" spans="1:13" x14ac:dyDescent="0.25">
      <c r="A97" s="61"/>
      <c r="K97" s="63" t="s">
        <v>205</v>
      </c>
      <c r="L97" s="62" t="s">
        <v>453</v>
      </c>
      <c r="M97" s="63">
        <v>312</v>
      </c>
    </row>
    <row r="98" spans="1:13" x14ac:dyDescent="0.25">
      <c r="A98" s="61"/>
      <c r="K98" s="63" t="s">
        <v>206</v>
      </c>
      <c r="L98" s="62" t="s">
        <v>454</v>
      </c>
      <c r="M98" s="63">
        <v>316</v>
      </c>
    </row>
    <row r="99" spans="1:13" x14ac:dyDescent="0.25">
      <c r="A99" s="61"/>
      <c r="K99" s="63" t="s">
        <v>207</v>
      </c>
      <c r="L99" s="62" t="s">
        <v>455</v>
      </c>
      <c r="M99" s="63">
        <v>320</v>
      </c>
    </row>
    <row r="100" spans="1:13" x14ac:dyDescent="0.25">
      <c r="A100" s="61"/>
      <c r="K100" s="63" t="s">
        <v>208</v>
      </c>
      <c r="L100" s="62" t="s">
        <v>456</v>
      </c>
      <c r="M100" s="63">
        <v>831</v>
      </c>
    </row>
    <row r="101" spans="1:13" x14ac:dyDescent="0.25">
      <c r="A101" s="61"/>
      <c r="K101" s="63" t="s">
        <v>209</v>
      </c>
      <c r="L101" s="62" t="s">
        <v>457</v>
      </c>
      <c r="M101" s="63">
        <v>324</v>
      </c>
    </row>
    <row r="102" spans="1:13" x14ac:dyDescent="0.25">
      <c r="A102" s="61"/>
      <c r="K102" s="63" t="s">
        <v>210</v>
      </c>
      <c r="L102" s="62" t="s">
        <v>458</v>
      </c>
      <c r="M102" s="63">
        <v>624</v>
      </c>
    </row>
    <row r="103" spans="1:13" x14ac:dyDescent="0.25">
      <c r="A103" s="61"/>
      <c r="K103" s="63" t="s">
        <v>211</v>
      </c>
      <c r="L103" s="62" t="s">
        <v>459</v>
      </c>
      <c r="M103" s="63">
        <v>328</v>
      </c>
    </row>
    <row r="104" spans="1:13" x14ac:dyDescent="0.25">
      <c r="A104" s="61"/>
      <c r="K104" s="63" t="s">
        <v>212</v>
      </c>
      <c r="L104" s="62" t="s">
        <v>460</v>
      </c>
      <c r="M104" s="63">
        <v>332</v>
      </c>
    </row>
    <row r="105" spans="1:13" ht="24" x14ac:dyDescent="0.25">
      <c r="A105" s="61"/>
      <c r="K105" s="63" t="s">
        <v>213</v>
      </c>
      <c r="L105" s="62" t="s">
        <v>461</v>
      </c>
      <c r="M105" s="63">
        <v>334</v>
      </c>
    </row>
    <row r="106" spans="1:13" x14ac:dyDescent="0.25">
      <c r="A106" s="61"/>
      <c r="K106" s="63" t="s">
        <v>214</v>
      </c>
      <c r="L106" s="62" t="s">
        <v>462</v>
      </c>
      <c r="M106" s="63">
        <v>336</v>
      </c>
    </row>
    <row r="107" spans="1:13" x14ac:dyDescent="0.25">
      <c r="A107" s="61"/>
      <c r="K107" s="63" t="s">
        <v>215</v>
      </c>
      <c r="L107" s="62" t="s">
        <v>463</v>
      </c>
      <c r="M107" s="63">
        <v>340</v>
      </c>
    </row>
    <row r="108" spans="1:13" x14ac:dyDescent="0.25">
      <c r="A108" s="61"/>
      <c r="K108" s="63" t="s">
        <v>216</v>
      </c>
      <c r="L108" s="62" t="s">
        <v>464</v>
      </c>
      <c r="M108" s="63">
        <v>348</v>
      </c>
    </row>
    <row r="109" spans="1:13" x14ac:dyDescent="0.25">
      <c r="A109" s="61"/>
      <c r="K109" s="63" t="s">
        <v>217</v>
      </c>
      <c r="L109" s="62" t="s">
        <v>465</v>
      </c>
      <c r="M109" s="63">
        <v>352</v>
      </c>
    </row>
    <row r="110" spans="1:13" x14ac:dyDescent="0.25">
      <c r="A110" s="61"/>
      <c r="K110" s="63" t="s">
        <v>218</v>
      </c>
      <c r="L110" s="62" t="s">
        <v>466</v>
      </c>
      <c r="M110" s="63">
        <v>356</v>
      </c>
    </row>
    <row r="111" spans="1:13" x14ac:dyDescent="0.25">
      <c r="A111" s="61"/>
      <c r="K111" s="63" t="s">
        <v>219</v>
      </c>
      <c r="L111" s="62" t="s">
        <v>467</v>
      </c>
      <c r="M111" s="63">
        <v>360</v>
      </c>
    </row>
    <row r="112" spans="1:13" ht="24" x14ac:dyDescent="0.25">
      <c r="A112" s="61"/>
      <c r="K112" s="63" t="s">
        <v>220</v>
      </c>
      <c r="L112" s="62" t="s">
        <v>468</v>
      </c>
      <c r="M112" s="63">
        <v>364</v>
      </c>
    </row>
    <row r="113" spans="1:13" x14ac:dyDescent="0.25">
      <c r="A113" s="61"/>
      <c r="K113" s="63" t="s">
        <v>221</v>
      </c>
      <c r="L113" s="62" t="s">
        <v>469</v>
      </c>
      <c r="M113" s="63">
        <v>368</v>
      </c>
    </row>
    <row r="114" spans="1:13" x14ac:dyDescent="0.25">
      <c r="A114" s="61"/>
      <c r="K114" s="63" t="s">
        <v>222</v>
      </c>
      <c r="L114" s="62" t="s">
        <v>470</v>
      </c>
      <c r="M114" s="63">
        <v>372</v>
      </c>
    </row>
    <row r="115" spans="1:13" x14ac:dyDescent="0.25">
      <c r="A115" s="61"/>
      <c r="K115" s="63" t="s">
        <v>223</v>
      </c>
      <c r="L115" s="62" t="s">
        <v>471</v>
      </c>
      <c r="M115" s="63">
        <v>833</v>
      </c>
    </row>
    <row r="116" spans="1:13" x14ac:dyDescent="0.25">
      <c r="A116" s="61"/>
      <c r="K116" s="63" t="s">
        <v>224</v>
      </c>
      <c r="L116" s="62" t="s">
        <v>472</v>
      </c>
      <c r="M116" s="63">
        <v>376</v>
      </c>
    </row>
    <row r="117" spans="1:13" x14ac:dyDescent="0.25">
      <c r="A117" s="61"/>
      <c r="K117" s="63" t="s">
        <v>225</v>
      </c>
      <c r="L117" s="62" t="s">
        <v>473</v>
      </c>
      <c r="M117" s="63">
        <v>380</v>
      </c>
    </row>
    <row r="118" spans="1:13" x14ac:dyDescent="0.25">
      <c r="A118" s="61"/>
      <c r="K118" s="63" t="s">
        <v>226</v>
      </c>
      <c r="L118" s="62" t="s">
        <v>474</v>
      </c>
      <c r="M118" s="63">
        <v>388</v>
      </c>
    </row>
    <row r="119" spans="1:13" x14ac:dyDescent="0.25">
      <c r="A119" s="61"/>
      <c r="K119" s="63" t="s">
        <v>227</v>
      </c>
      <c r="L119" s="62" t="s">
        <v>475</v>
      </c>
      <c r="M119" s="63">
        <v>392</v>
      </c>
    </row>
    <row r="120" spans="1:13" x14ac:dyDescent="0.25">
      <c r="A120" s="61"/>
      <c r="K120" s="63" t="s">
        <v>228</v>
      </c>
      <c r="L120" s="62" t="s">
        <v>476</v>
      </c>
      <c r="M120" s="63">
        <v>832</v>
      </c>
    </row>
    <row r="121" spans="1:13" x14ac:dyDescent="0.25">
      <c r="A121" s="61"/>
      <c r="K121" s="63" t="s">
        <v>229</v>
      </c>
      <c r="L121" s="62" t="s">
        <v>477</v>
      </c>
      <c r="M121" s="63">
        <v>400</v>
      </c>
    </row>
    <row r="122" spans="1:13" x14ac:dyDescent="0.25">
      <c r="A122" s="61"/>
      <c r="K122" s="63" t="s">
        <v>230</v>
      </c>
      <c r="L122" s="62" t="s">
        <v>478</v>
      </c>
      <c r="M122" s="63">
        <v>398</v>
      </c>
    </row>
    <row r="123" spans="1:13" x14ac:dyDescent="0.25">
      <c r="A123" s="61"/>
      <c r="K123" s="63" t="s">
        <v>231</v>
      </c>
      <c r="L123" s="62" t="s">
        <v>479</v>
      </c>
      <c r="M123" s="63">
        <v>404</v>
      </c>
    </row>
    <row r="124" spans="1:13" x14ac:dyDescent="0.25">
      <c r="A124" s="61"/>
      <c r="K124" s="63" t="s">
        <v>232</v>
      </c>
      <c r="L124" s="62" t="s">
        <v>480</v>
      </c>
      <c r="M124" s="63">
        <v>296</v>
      </c>
    </row>
    <row r="125" spans="1:13" x14ac:dyDescent="0.25">
      <c r="A125" s="61"/>
      <c r="K125" s="63" t="s">
        <v>233</v>
      </c>
      <c r="L125" s="62" t="s">
        <v>481</v>
      </c>
      <c r="M125" s="63">
        <v>414</v>
      </c>
    </row>
    <row r="126" spans="1:13" x14ac:dyDescent="0.25">
      <c r="A126" s="61"/>
      <c r="K126" s="63" t="s">
        <v>234</v>
      </c>
      <c r="L126" s="62" t="s">
        <v>482</v>
      </c>
      <c r="M126" s="63">
        <v>417</v>
      </c>
    </row>
    <row r="127" spans="1:13" ht="24" x14ac:dyDescent="0.25">
      <c r="A127" s="61"/>
      <c r="K127" s="63" t="s">
        <v>235</v>
      </c>
      <c r="L127" s="62" t="s">
        <v>483</v>
      </c>
      <c r="M127" s="63">
        <v>418</v>
      </c>
    </row>
    <row r="128" spans="1:13" x14ac:dyDescent="0.25">
      <c r="A128" s="61"/>
      <c r="K128" s="63" t="s">
        <v>236</v>
      </c>
      <c r="L128" s="62" t="s">
        <v>484</v>
      </c>
      <c r="M128" s="63">
        <v>428</v>
      </c>
    </row>
    <row r="129" spans="1:13" x14ac:dyDescent="0.25">
      <c r="A129" s="61"/>
      <c r="K129" s="63" t="s">
        <v>237</v>
      </c>
      <c r="L129" s="62" t="s">
        <v>485</v>
      </c>
      <c r="M129" s="63">
        <v>422</v>
      </c>
    </row>
    <row r="130" spans="1:13" x14ac:dyDescent="0.25">
      <c r="A130" s="61"/>
      <c r="K130" s="63" t="s">
        <v>238</v>
      </c>
      <c r="L130" s="62" t="s">
        <v>486</v>
      </c>
      <c r="M130" s="63">
        <v>426</v>
      </c>
    </row>
    <row r="131" spans="1:13" x14ac:dyDescent="0.25">
      <c r="A131" s="61"/>
      <c r="K131" s="63" t="s">
        <v>239</v>
      </c>
      <c r="L131" s="62" t="s">
        <v>487</v>
      </c>
      <c r="M131" s="63">
        <v>430</v>
      </c>
    </row>
    <row r="132" spans="1:13" x14ac:dyDescent="0.25">
      <c r="A132" s="61"/>
      <c r="K132" s="63" t="s">
        <v>240</v>
      </c>
      <c r="L132" s="62" t="s">
        <v>488</v>
      </c>
      <c r="M132" s="63">
        <v>434</v>
      </c>
    </row>
    <row r="133" spans="1:13" x14ac:dyDescent="0.25">
      <c r="A133" s="61"/>
      <c r="K133" s="63" t="s">
        <v>241</v>
      </c>
      <c r="L133" s="62" t="s">
        <v>489</v>
      </c>
      <c r="M133" s="63">
        <v>438</v>
      </c>
    </row>
    <row r="134" spans="1:13" x14ac:dyDescent="0.25">
      <c r="A134" s="61"/>
      <c r="K134" s="63" t="s">
        <v>242</v>
      </c>
      <c r="L134" s="62" t="s">
        <v>490</v>
      </c>
      <c r="M134" s="63">
        <v>440</v>
      </c>
    </row>
    <row r="135" spans="1:13" x14ac:dyDescent="0.25">
      <c r="A135" s="61"/>
      <c r="K135" s="63" t="s">
        <v>243</v>
      </c>
      <c r="L135" s="62" t="s">
        <v>491</v>
      </c>
      <c r="M135" s="63">
        <v>442</v>
      </c>
    </row>
    <row r="136" spans="1:13" x14ac:dyDescent="0.25">
      <c r="A136" s="61"/>
      <c r="K136" s="63" t="s">
        <v>244</v>
      </c>
      <c r="L136" s="62" t="s">
        <v>492</v>
      </c>
      <c r="M136" s="63">
        <v>450</v>
      </c>
    </row>
    <row r="137" spans="1:13" x14ac:dyDescent="0.25">
      <c r="A137" s="61"/>
      <c r="K137" s="63" t="s">
        <v>245</v>
      </c>
      <c r="L137" s="62" t="s">
        <v>493</v>
      </c>
      <c r="M137" s="63">
        <v>454</v>
      </c>
    </row>
    <row r="138" spans="1:13" x14ac:dyDescent="0.25">
      <c r="A138" s="61"/>
      <c r="K138" s="63" t="s">
        <v>246</v>
      </c>
      <c r="L138" s="62" t="s">
        <v>494</v>
      </c>
      <c r="M138" s="63">
        <v>458</v>
      </c>
    </row>
    <row r="139" spans="1:13" x14ac:dyDescent="0.25">
      <c r="A139" s="61"/>
      <c r="K139" s="63" t="s">
        <v>247</v>
      </c>
      <c r="L139" s="62" t="s">
        <v>495</v>
      </c>
      <c r="M139" s="63">
        <v>462</v>
      </c>
    </row>
    <row r="140" spans="1:13" x14ac:dyDescent="0.25">
      <c r="A140" s="61"/>
      <c r="K140" s="63" t="s">
        <v>248</v>
      </c>
      <c r="L140" s="62" t="s">
        <v>496</v>
      </c>
      <c r="M140" s="63">
        <v>466</v>
      </c>
    </row>
    <row r="141" spans="1:13" x14ac:dyDescent="0.25">
      <c r="A141" s="61"/>
      <c r="K141" s="63" t="s">
        <v>249</v>
      </c>
      <c r="L141" s="62" t="s">
        <v>497</v>
      </c>
      <c r="M141" s="63">
        <v>470</v>
      </c>
    </row>
    <row r="142" spans="1:13" x14ac:dyDescent="0.25">
      <c r="A142" s="61"/>
      <c r="K142" s="63" t="s">
        <v>250</v>
      </c>
      <c r="L142" s="62" t="s">
        <v>498</v>
      </c>
      <c r="M142" s="63">
        <v>584</v>
      </c>
    </row>
    <row r="143" spans="1:13" x14ac:dyDescent="0.25">
      <c r="A143" s="61"/>
      <c r="K143" s="63" t="s">
        <v>251</v>
      </c>
      <c r="L143" s="62" t="s">
        <v>499</v>
      </c>
      <c r="M143" s="63">
        <v>474</v>
      </c>
    </row>
    <row r="144" spans="1:13" x14ac:dyDescent="0.25">
      <c r="A144" s="61"/>
      <c r="K144" s="63" t="s">
        <v>252</v>
      </c>
      <c r="L144" s="62" t="s">
        <v>500</v>
      </c>
      <c r="M144" s="63">
        <v>478</v>
      </c>
    </row>
    <row r="145" spans="1:13" x14ac:dyDescent="0.25">
      <c r="A145" s="61"/>
      <c r="K145" s="63" t="s">
        <v>253</v>
      </c>
      <c r="L145" s="62" t="s">
        <v>501</v>
      </c>
      <c r="M145" s="63">
        <v>480</v>
      </c>
    </row>
    <row r="146" spans="1:13" x14ac:dyDescent="0.25">
      <c r="A146" s="61"/>
      <c r="K146" s="63" t="s">
        <v>254</v>
      </c>
      <c r="L146" s="62" t="s">
        <v>502</v>
      </c>
      <c r="M146" s="63">
        <v>175</v>
      </c>
    </row>
    <row r="147" spans="1:13" x14ac:dyDescent="0.25">
      <c r="A147" s="61"/>
      <c r="K147" s="63" t="s">
        <v>255</v>
      </c>
      <c r="L147" s="62" t="s">
        <v>503</v>
      </c>
      <c r="M147" s="63">
        <v>484</v>
      </c>
    </row>
    <row r="148" spans="1:13" ht="24" x14ac:dyDescent="0.25">
      <c r="A148" s="61"/>
      <c r="K148" s="63" t="s">
        <v>256</v>
      </c>
      <c r="L148" s="62" t="s">
        <v>504</v>
      </c>
      <c r="M148" s="63">
        <v>583</v>
      </c>
    </row>
    <row r="149" spans="1:13" x14ac:dyDescent="0.25">
      <c r="A149" s="61"/>
      <c r="K149" s="63" t="s">
        <v>257</v>
      </c>
      <c r="L149" s="62" t="s">
        <v>505</v>
      </c>
      <c r="M149" s="63">
        <v>492</v>
      </c>
    </row>
    <row r="150" spans="1:13" x14ac:dyDescent="0.25">
      <c r="A150" s="61"/>
      <c r="K150" s="63" t="s">
        <v>258</v>
      </c>
      <c r="L150" s="62" t="s">
        <v>506</v>
      </c>
      <c r="M150" s="63">
        <v>496</v>
      </c>
    </row>
    <row r="151" spans="1:13" x14ac:dyDescent="0.25">
      <c r="A151" s="61"/>
      <c r="K151" s="63" t="s">
        <v>259</v>
      </c>
      <c r="L151" s="62" t="s">
        <v>507</v>
      </c>
      <c r="M151" s="63">
        <v>499</v>
      </c>
    </row>
    <row r="152" spans="1:13" x14ac:dyDescent="0.25">
      <c r="A152" s="61"/>
      <c r="K152" s="63" t="s">
        <v>260</v>
      </c>
      <c r="L152" s="62" t="s">
        <v>508</v>
      </c>
      <c r="M152" s="63">
        <v>500</v>
      </c>
    </row>
    <row r="153" spans="1:13" x14ac:dyDescent="0.25">
      <c r="A153" s="61"/>
      <c r="K153" s="63" t="s">
        <v>261</v>
      </c>
      <c r="L153" s="62" t="s">
        <v>509</v>
      </c>
      <c r="M153" s="63">
        <v>504</v>
      </c>
    </row>
    <row r="154" spans="1:13" x14ac:dyDescent="0.25">
      <c r="A154" s="61"/>
      <c r="K154" s="63" t="s">
        <v>262</v>
      </c>
      <c r="L154" s="62" t="s">
        <v>510</v>
      </c>
      <c r="M154" s="63">
        <v>508</v>
      </c>
    </row>
    <row r="155" spans="1:13" x14ac:dyDescent="0.25">
      <c r="A155" s="61"/>
      <c r="K155" s="63" t="s">
        <v>263</v>
      </c>
      <c r="L155" s="62" t="s">
        <v>511</v>
      </c>
      <c r="M155" s="63">
        <v>104</v>
      </c>
    </row>
    <row r="156" spans="1:13" x14ac:dyDescent="0.25">
      <c r="A156" s="61"/>
      <c r="K156" s="63" t="s">
        <v>264</v>
      </c>
      <c r="L156" s="62" t="s">
        <v>512</v>
      </c>
      <c r="M156" s="63">
        <v>516</v>
      </c>
    </row>
    <row r="157" spans="1:13" x14ac:dyDescent="0.25">
      <c r="A157" s="61"/>
      <c r="K157" s="63" t="s">
        <v>265</v>
      </c>
      <c r="L157" s="62" t="s">
        <v>513</v>
      </c>
      <c r="M157" s="63">
        <v>520</v>
      </c>
    </row>
    <row r="158" spans="1:13" x14ac:dyDescent="0.25">
      <c r="A158" s="61"/>
      <c r="K158" s="63" t="s">
        <v>266</v>
      </c>
      <c r="L158" s="62" t="s">
        <v>514</v>
      </c>
      <c r="M158" s="63">
        <v>524</v>
      </c>
    </row>
    <row r="159" spans="1:13" x14ac:dyDescent="0.25">
      <c r="A159" s="61"/>
      <c r="K159" s="63" t="s">
        <v>267</v>
      </c>
      <c r="L159" s="62" t="s">
        <v>515</v>
      </c>
      <c r="M159" s="63">
        <v>528</v>
      </c>
    </row>
    <row r="160" spans="1:13" x14ac:dyDescent="0.25">
      <c r="A160" s="61"/>
      <c r="K160" s="63" t="s">
        <v>268</v>
      </c>
      <c r="L160" s="62" t="s">
        <v>516</v>
      </c>
      <c r="M160" s="63">
        <v>540</v>
      </c>
    </row>
    <row r="161" spans="1:13" x14ac:dyDescent="0.25">
      <c r="A161" s="61"/>
      <c r="K161" s="63" t="s">
        <v>269</v>
      </c>
      <c r="L161" s="62" t="s">
        <v>517</v>
      </c>
      <c r="M161" s="63">
        <v>554</v>
      </c>
    </row>
    <row r="162" spans="1:13" x14ac:dyDescent="0.25">
      <c r="A162" s="61"/>
      <c r="K162" s="63" t="s">
        <v>270</v>
      </c>
      <c r="L162" s="62" t="s">
        <v>518</v>
      </c>
      <c r="M162" s="63">
        <v>558</v>
      </c>
    </row>
    <row r="163" spans="1:13" x14ac:dyDescent="0.25">
      <c r="A163" s="61"/>
      <c r="K163" s="63" t="s">
        <v>271</v>
      </c>
      <c r="L163" s="62" t="s">
        <v>519</v>
      </c>
      <c r="M163" s="63">
        <v>562</v>
      </c>
    </row>
    <row r="164" spans="1:13" x14ac:dyDescent="0.25">
      <c r="A164" s="61"/>
      <c r="K164" s="63" t="s">
        <v>272</v>
      </c>
      <c r="L164" s="62" t="s">
        <v>520</v>
      </c>
      <c r="M164" s="63">
        <v>566</v>
      </c>
    </row>
    <row r="165" spans="1:13" x14ac:dyDescent="0.25">
      <c r="A165" s="61"/>
      <c r="K165" s="63" t="s">
        <v>273</v>
      </c>
      <c r="L165" s="62" t="s">
        <v>521</v>
      </c>
      <c r="M165" s="63">
        <v>570</v>
      </c>
    </row>
    <row r="166" spans="1:13" x14ac:dyDescent="0.25">
      <c r="A166" s="61"/>
      <c r="K166" s="63" t="s">
        <v>274</v>
      </c>
      <c r="L166" s="62" t="s">
        <v>522</v>
      </c>
      <c r="M166" s="63">
        <v>574</v>
      </c>
    </row>
    <row r="167" spans="1:13" ht="24" x14ac:dyDescent="0.25">
      <c r="A167" s="61"/>
      <c r="K167" s="63" t="s">
        <v>275</v>
      </c>
      <c r="L167" s="62" t="s">
        <v>523</v>
      </c>
      <c r="M167" s="63">
        <v>580</v>
      </c>
    </row>
    <row r="168" spans="1:13" x14ac:dyDescent="0.25">
      <c r="A168" s="61"/>
      <c r="K168" s="63" t="s">
        <v>276</v>
      </c>
      <c r="L168" s="62" t="s">
        <v>524</v>
      </c>
      <c r="M168" s="63">
        <v>578</v>
      </c>
    </row>
    <row r="169" spans="1:13" x14ac:dyDescent="0.25">
      <c r="A169" s="61"/>
      <c r="K169" s="63" t="s">
        <v>277</v>
      </c>
      <c r="L169" s="62" t="s">
        <v>525</v>
      </c>
      <c r="M169" s="63">
        <v>512</v>
      </c>
    </row>
    <row r="170" spans="1:13" x14ac:dyDescent="0.25">
      <c r="A170" s="61"/>
      <c r="K170" s="63" t="s">
        <v>278</v>
      </c>
      <c r="L170" s="62" t="s">
        <v>526</v>
      </c>
      <c r="M170" s="63">
        <v>586</v>
      </c>
    </row>
    <row r="171" spans="1:13" x14ac:dyDescent="0.25">
      <c r="A171" s="61"/>
      <c r="K171" s="63" t="s">
        <v>279</v>
      </c>
      <c r="L171" s="62" t="s">
        <v>527</v>
      </c>
      <c r="M171" s="63">
        <v>585</v>
      </c>
    </row>
    <row r="172" spans="1:13" x14ac:dyDescent="0.25">
      <c r="A172" s="61"/>
      <c r="K172" s="63" t="s">
        <v>280</v>
      </c>
      <c r="L172" s="62" t="s">
        <v>528</v>
      </c>
      <c r="M172" s="63">
        <v>591</v>
      </c>
    </row>
    <row r="173" spans="1:13" ht="24" x14ac:dyDescent="0.25">
      <c r="A173" s="61"/>
      <c r="K173" s="63" t="s">
        <v>281</v>
      </c>
      <c r="L173" s="62" t="s">
        <v>529</v>
      </c>
      <c r="M173" s="63">
        <v>598</v>
      </c>
    </row>
    <row r="174" spans="1:13" x14ac:dyDescent="0.25">
      <c r="A174" s="61"/>
      <c r="K174" s="63" t="s">
        <v>282</v>
      </c>
      <c r="L174" s="62" t="s">
        <v>530</v>
      </c>
      <c r="M174" s="63">
        <v>600</v>
      </c>
    </row>
    <row r="175" spans="1:13" x14ac:dyDescent="0.25">
      <c r="A175" s="61"/>
      <c r="K175" s="63" t="s">
        <v>283</v>
      </c>
      <c r="L175" s="62" t="s">
        <v>531</v>
      </c>
      <c r="M175" s="63">
        <v>604</v>
      </c>
    </row>
    <row r="176" spans="1:13" x14ac:dyDescent="0.25">
      <c r="A176" s="61"/>
      <c r="K176" s="63" t="s">
        <v>284</v>
      </c>
      <c r="L176" s="62" t="s">
        <v>532</v>
      </c>
      <c r="M176" s="63">
        <v>608</v>
      </c>
    </row>
    <row r="177" spans="1:13" x14ac:dyDescent="0.25">
      <c r="A177" s="61"/>
      <c r="K177" s="63" t="s">
        <v>285</v>
      </c>
      <c r="L177" s="62" t="s">
        <v>533</v>
      </c>
      <c r="M177" s="63">
        <v>612</v>
      </c>
    </row>
    <row r="178" spans="1:13" x14ac:dyDescent="0.25">
      <c r="A178" s="61"/>
      <c r="K178" s="63" t="s">
        <v>286</v>
      </c>
      <c r="L178" s="62" t="s">
        <v>534</v>
      </c>
      <c r="M178" s="63">
        <v>616</v>
      </c>
    </row>
    <row r="179" spans="1:13" x14ac:dyDescent="0.25">
      <c r="A179" s="61"/>
      <c r="K179" s="63" t="s">
        <v>287</v>
      </c>
      <c r="L179" s="62" t="s">
        <v>535</v>
      </c>
      <c r="M179" s="63">
        <v>620</v>
      </c>
    </row>
    <row r="180" spans="1:13" x14ac:dyDescent="0.25">
      <c r="A180" s="61"/>
      <c r="K180" s="63" t="s">
        <v>288</v>
      </c>
      <c r="L180" s="62" t="s">
        <v>536</v>
      </c>
      <c r="M180" s="63">
        <v>630</v>
      </c>
    </row>
    <row r="181" spans="1:13" x14ac:dyDescent="0.25">
      <c r="A181" s="61"/>
      <c r="K181" s="63" t="s">
        <v>289</v>
      </c>
      <c r="L181" s="62" t="s">
        <v>537</v>
      </c>
      <c r="M181" s="63">
        <v>634</v>
      </c>
    </row>
    <row r="182" spans="1:13" x14ac:dyDescent="0.25">
      <c r="A182" s="61"/>
      <c r="K182" s="63" t="s">
        <v>290</v>
      </c>
      <c r="L182" s="62" t="s">
        <v>538</v>
      </c>
      <c r="M182" s="63">
        <v>410</v>
      </c>
    </row>
    <row r="183" spans="1:13" ht="24" x14ac:dyDescent="0.25">
      <c r="A183" s="61"/>
      <c r="K183" s="63" t="s">
        <v>291</v>
      </c>
      <c r="L183" s="62" t="s">
        <v>539</v>
      </c>
      <c r="M183" s="63">
        <v>498</v>
      </c>
    </row>
    <row r="184" spans="1:13" x14ac:dyDescent="0.25">
      <c r="A184" s="61"/>
      <c r="K184" s="63" t="s">
        <v>292</v>
      </c>
      <c r="L184" s="62" t="s">
        <v>540</v>
      </c>
      <c r="M184" s="63">
        <v>638</v>
      </c>
    </row>
    <row r="185" spans="1:13" x14ac:dyDescent="0.25">
      <c r="A185" s="61"/>
      <c r="K185" s="63" t="s">
        <v>293</v>
      </c>
      <c r="L185" s="62" t="s">
        <v>541</v>
      </c>
      <c r="M185" s="63">
        <v>642</v>
      </c>
    </row>
    <row r="186" spans="1:13" ht="24" x14ac:dyDescent="0.25">
      <c r="A186" s="61"/>
      <c r="K186" s="63" t="s">
        <v>294</v>
      </c>
      <c r="L186" s="62" t="s">
        <v>542</v>
      </c>
      <c r="M186" s="63">
        <v>643</v>
      </c>
    </row>
    <row r="187" spans="1:13" x14ac:dyDescent="0.25">
      <c r="A187" s="61"/>
      <c r="K187" s="63" t="s">
        <v>295</v>
      </c>
      <c r="L187" s="62" t="s">
        <v>543</v>
      </c>
      <c r="M187" s="63">
        <v>646</v>
      </c>
    </row>
    <row r="188" spans="1:13" x14ac:dyDescent="0.25">
      <c r="A188" s="61"/>
      <c r="K188" s="63" t="s">
        <v>296</v>
      </c>
      <c r="L188" s="62" t="s">
        <v>544</v>
      </c>
      <c r="M188" s="63">
        <v>652</v>
      </c>
    </row>
    <row r="189" spans="1:13" x14ac:dyDescent="0.25">
      <c r="A189" s="61"/>
      <c r="K189" s="63" t="s">
        <v>297</v>
      </c>
      <c r="L189" s="62" t="s">
        <v>545</v>
      </c>
      <c r="M189" s="63">
        <v>654</v>
      </c>
    </row>
    <row r="190" spans="1:13" ht="24" x14ac:dyDescent="0.25">
      <c r="A190" s="61"/>
      <c r="K190" s="63" t="s">
        <v>298</v>
      </c>
      <c r="L190" s="62" t="s">
        <v>546</v>
      </c>
      <c r="M190" s="63">
        <v>659</v>
      </c>
    </row>
    <row r="191" spans="1:13" x14ac:dyDescent="0.25">
      <c r="A191" s="61"/>
      <c r="K191" s="63" t="s">
        <v>299</v>
      </c>
      <c r="L191" s="62" t="s">
        <v>547</v>
      </c>
      <c r="M191" s="63">
        <v>662</v>
      </c>
    </row>
    <row r="192" spans="1:13" ht="24" x14ac:dyDescent="0.25">
      <c r="A192" s="61"/>
      <c r="K192" s="63" t="s">
        <v>300</v>
      </c>
      <c r="L192" s="62" t="s">
        <v>548</v>
      </c>
      <c r="M192" s="63">
        <v>663</v>
      </c>
    </row>
    <row r="193" spans="1:13" ht="24" x14ac:dyDescent="0.25">
      <c r="A193" s="61"/>
      <c r="K193" s="63" t="s">
        <v>301</v>
      </c>
      <c r="L193" s="62" t="s">
        <v>549</v>
      </c>
      <c r="M193" s="63">
        <v>666</v>
      </c>
    </row>
    <row r="194" spans="1:13" ht="24" x14ac:dyDescent="0.25">
      <c r="A194" s="61"/>
      <c r="K194" s="63" t="s">
        <v>302</v>
      </c>
      <c r="L194" s="62" t="s">
        <v>550</v>
      </c>
      <c r="M194" s="63">
        <v>670</v>
      </c>
    </row>
    <row r="195" spans="1:13" x14ac:dyDescent="0.25">
      <c r="A195" s="61"/>
      <c r="K195" s="63" t="s">
        <v>303</v>
      </c>
      <c r="L195" s="62" t="s">
        <v>551</v>
      </c>
      <c r="M195" s="63">
        <v>882</v>
      </c>
    </row>
    <row r="196" spans="1:13" x14ac:dyDescent="0.25">
      <c r="A196" s="61"/>
      <c r="K196" s="63" t="s">
        <v>304</v>
      </c>
      <c r="L196" s="62" t="s">
        <v>552</v>
      </c>
      <c r="M196" s="63">
        <v>674</v>
      </c>
    </row>
    <row r="197" spans="1:13" ht="24" x14ac:dyDescent="0.25">
      <c r="A197" s="61"/>
      <c r="K197" s="63" t="s">
        <v>305</v>
      </c>
      <c r="L197" s="62" t="s">
        <v>553</v>
      </c>
      <c r="M197" s="63">
        <v>678</v>
      </c>
    </row>
    <row r="198" spans="1:13" x14ac:dyDescent="0.25">
      <c r="A198" s="61"/>
      <c r="K198" s="63"/>
      <c r="L198" s="62" t="s">
        <v>306</v>
      </c>
      <c r="M198" s="63">
        <v>680</v>
      </c>
    </row>
    <row r="199" spans="1:13" x14ac:dyDescent="0.25">
      <c r="A199" s="61"/>
      <c r="K199" s="63" t="s">
        <v>307</v>
      </c>
      <c r="L199" s="62" t="s">
        <v>554</v>
      </c>
      <c r="M199" s="63">
        <v>682</v>
      </c>
    </row>
    <row r="200" spans="1:13" x14ac:dyDescent="0.25">
      <c r="A200" s="61"/>
      <c r="K200" s="63" t="s">
        <v>308</v>
      </c>
      <c r="L200" s="62" t="s">
        <v>555</v>
      </c>
      <c r="M200" s="63">
        <v>686</v>
      </c>
    </row>
    <row r="201" spans="1:13" x14ac:dyDescent="0.25">
      <c r="A201" s="61"/>
      <c r="K201" s="63" t="s">
        <v>309</v>
      </c>
      <c r="L201" s="62" t="s">
        <v>556</v>
      </c>
      <c r="M201" s="63">
        <v>688</v>
      </c>
    </row>
    <row r="202" spans="1:13" x14ac:dyDescent="0.25">
      <c r="A202" s="61"/>
      <c r="K202" s="63" t="s">
        <v>310</v>
      </c>
      <c r="L202" s="62" t="s">
        <v>557</v>
      </c>
      <c r="M202" s="63">
        <v>690</v>
      </c>
    </row>
    <row r="203" spans="1:13" x14ac:dyDescent="0.25">
      <c r="A203" s="61"/>
      <c r="K203" s="63" t="s">
        <v>311</v>
      </c>
      <c r="L203" s="62" t="s">
        <v>558</v>
      </c>
      <c r="M203" s="63">
        <v>694</v>
      </c>
    </row>
    <row r="204" spans="1:13" x14ac:dyDescent="0.25">
      <c r="A204" s="61"/>
      <c r="K204" s="63" t="s">
        <v>312</v>
      </c>
      <c r="L204" s="62" t="s">
        <v>559</v>
      </c>
      <c r="M204" s="63">
        <v>702</v>
      </c>
    </row>
    <row r="205" spans="1:13" ht="24" x14ac:dyDescent="0.25">
      <c r="A205" s="61"/>
      <c r="K205" s="63" t="s">
        <v>313</v>
      </c>
      <c r="L205" s="62" t="s">
        <v>560</v>
      </c>
      <c r="M205" s="63">
        <v>534</v>
      </c>
    </row>
    <row r="206" spans="1:13" x14ac:dyDescent="0.25">
      <c r="A206" s="61"/>
      <c r="K206" s="63" t="s">
        <v>314</v>
      </c>
      <c r="L206" s="62" t="s">
        <v>561</v>
      </c>
      <c r="M206" s="63">
        <v>703</v>
      </c>
    </row>
    <row r="207" spans="1:13" x14ac:dyDescent="0.25">
      <c r="A207" s="61"/>
      <c r="K207" s="63" t="s">
        <v>315</v>
      </c>
      <c r="L207" s="62" t="s">
        <v>562</v>
      </c>
      <c r="M207" s="63">
        <v>705</v>
      </c>
    </row>
    <row r="208" spans="1:13" x14ac:dyDescent="0.25">
      <c r="A208" s="61"/>
      <c r="K208" s="63" t="s">
        <v>316</v>
      </c>
      <c r="L208" s="62" t="s">
        <v>563</v>
      </c>
      <c r="M208" s="63">
        <v>90</v>
      </c>
    </row>
    <row r="209" spans="1:13" x14ac:dyDescent="0.25">
      <c r="A209" s="61"/>
      <c r="K209" s="63" t="s">
        <v>317</v>
      </c>
      <c r="L209" s="62" t="s">
        <v>564</v>
      </c>
      <c r="M209" s="63">
        <v>706</v>
      </c>
    </row>
    <row r="210" spans="1:13" x14ac:dyDescent="0.25">
      <c r="A210" s="61"/>
      <c r="K210" s="63" t="s">
        <v>318</v>
      </c>
      <c r="L210" s="62" t="s">
        <v>565</v>
      </c>
      <c r="M210" s="63">
        <v>710</v>
      </c>
    </row>
    <row r="211" spans="1:13" ht="36" x14ac:dyDescent="0.25">
      <c r="A211" s="61"/>
      <c r="K211" s="63" t="s">
        <v>319</v>
      </c>
      <c r="L211" s="62" t="s">
        <v>566</v>
      </c>
      <c r="M211" s="63">
        <v>239</v>
      </c>
    </row>
    <row r="212" spans="1:13" x14ac:dyDescent="0.25">
      <c r="A212" s="61"/>
      <c r="K212" s="63" t="s">
        <v>320</v>
      </c>
      <c r="L212" s="62" t="s">
        <v>567</v>
      </c>
      <c r="M212" s="63">
        <v>728</v>
      </c>
    </row>
    <row r="213" spans="1:13" x14ac:dyDescent="0.25">
      <c r="A213" s="61"/>
      <c r="K213" s="63" t="s">
        <v>321</v>
      </c>
      <c r="L213" s="62" t="s">
        <v>568</v>
      </c>
      <c r="M213" s="63">
        <v>724</v>
      </c>
    </row>
    <row r="214" spans="1:13" x14ac:dyDescent="0.25">
      <c r="A214" s="61"/>
      <c r="K214" s="63" t="s">
        <v>322</v>
      </c>
      <c r="L214" s="62" t="s">
        <v>569</v>
      </c>
      <c r="M214" s="63">
        <v>144</v>
      </c>
    </row>
    <row r="215" spans="1:13" x14ac:dyDescent="0.25">
      <c r="A215" s="61"/>
      <c r="K215" s="63" t="s">
        <v>323</v>
      </c>
      <c r="L215" s="62" t="s">
        <v>570</v>
      </c>
      <c r="M215" s="63">
        <v>275</v>
      </c>
    </row>
    <row r="216" spans="1:13" x14ac:dyDescent="0.25">
      <c r="A216" s="61"/>
      <c r="K216" s="63" t="s">
        <v>324</v>
      </c>
      <c r="L216" s="62" t="s">
        <v>571</v>
      </c>
      <c r="M216" s="63">
        <v>729</v>
      </c>
    </row>
    <row r="217" spans="1:13" x14ac:dyDescent="0.25">
      <c r="A217" s="61"/>
      <c r="K217" s="63" t="s">
        <v>325</v>
      </c>
      <c r="L217" s="62" t="s">
        <v>572</v>
      </c>
      <c r="M217" s="63">
        <v>740</v>
      </c>
    </row>
    <row r="218" spans="1:13" ht="24" x14ac:dyDescent="0.25">
      <c r="A218" s="61"/>
      <c r="K218" s="63" t="s">
        <v>326</v>
      </c>
      <c r="L218" s="62" t="s">
        <v>573</v>
      </c>
      <c r="M218" s="63">
        <v>744</v>
      </c>
    </row>
    <row r="219" spans="1:13" x14ac:dyDescent="0.25">
      <c r="A219" s="61"/>
      <c r="K219" s="63" t="s">
        <v>327</v>
      </c>
      <c r="L219" s="62" t="s">
        <v>574</v>
      </c>
      <c r="M219" s="63">
        <v>752</v>
      </c>
    </row>
    <row r="220" spans="1:13" x14ac:dyDescent="0.25">
      <c r="A220" s="61"/>
      <c r="K220" s="63" t="s">
        <v>328</v>
      </c>
      <c r="L220" s="62" t="s">
        <v>575</v>
      </c>
      <c r="M220" s="63">
        <v>756</v>
      </c>
    </row>
    <row r="221" spans="1:13" ht="24" x14ac:dyDescent="0.25">
      <c r="A221" s="61"/>
      <c r="K221" s="63" t="s">
        <v>329</v>
      </c>
      <c r="L221" s="62" t="s">
        <v>576</v>
      </c>
      <c r="M221" s="63">
        <v>760</v>
      </c>
    </row>
    <row r="222" spans="1:13" x14ac:dyDescent="0.25">
      <c r="A222" s="61"/>
      <c r="K222" s="63" t="s">
        <v>330</v>
      </c>
      <c r="L222" s="62" t="s">
        <v>577</v>
      </c>
      <c r="M222" s="63">
        <v>762</v>
      </c>
    </row>
    <row r="223" spans="1:13" x14ac:dyDescent="0.25">
      <c r="A223" s="61"/>
      <c r="K223" s="63" t="s">
        <v>331</v>
      </c>
      <c r="L223" s="62" t="s">
        <v>578</v>
      </c>
      <c r="M223" s="63">
        <v>764</v>
      </c>
    </row>
    <row r="224" spans="1:13" ht="36" x14ac:dyDescent="0.25">
      <c r="A224" s="61"/>
      <c r="K224" s="63" t="s">
        <v>332</v>
      </c>
      <c r="L224" s="62" t="s">
        <v>579</v>
      </c>
      <c r="M224" s="63">
        <v>807</v>
      </c>
    </row>
    <row r="225" spans="1:13" x14ac:dyDescent="0.25">
      <c r="A225" s="61"/>
      <c r="K225" s="63" t="s">
        <v>333</v>
      </c>
      <c r="L225" s="62" t="s">
        <v>580</v>
      </c>
      <c r="M225" s="63">
        <v>626</v>
      </c>
    </row>
    <row r="226" spans="1:13" x14ac:dyDescent="0.25">
      <c r="A226" s="61"/>
      <c r="K226" s="63" t="s">
        <v>334</v>
      </c>
      <c r="L226" s="62" t="s">
        <v>581</v>
      </c>
      <c r="M226" s="63">
        <v>768</v>
      </c>
    </row>
    <row r="227" spans="1:13" x14ac:dyDescent="0.25">
      <c r="A227" s="61"/>
      <c r="K227" s="63" t="s">
        <v>335</v>
      </c>
      <c r="L227" s="62" t="s">
        <v>582</v>
      </c>
      <c r="M227" s="63">
        <v>772</v>
      </c>
    </row>
    <row r="228" spans="1:13" x14ac:dyDescent="0.25">
      <c r="A228" s="61"/>
      <c r="K228" s="63" t="s">
        <v>336</v>
      </c>
      <c r="L228" s="62" t="s">
        <v>583</v>
      </c>
      <c r="M228" s="63">
        <v>776</v>
      </c>
    </row>
    <row r="229" spans="1:13" ht="24" x14ac:dyDescent="0.25">
      <c r="A229" s="61"/>
      <c r="K229" s="63" t="s">
        <v>337</v>
      </c>
      <c r="L229" s="62" t="s">
        <v>584</v>
      </c>
      <c r="M229" s="63">
        <v>780</v>
      </c>
    </row>
    <row r="230" spans="1:13" x14ac:dyDescent="0.25">
      <c r="A230" s="61"/>
      <c r="K230" s="63" t="s">
        <v>338</v>
      </c>
      <c r="L230" s="62" t="s">
        <v>585</v>
      </c>
      <c r="M230" s="63">
        <v>788</v>
      </c>
    </row>
    <row r="231" spans="1:13" x14ac:dyDescent="0.25">
      <c r="A231" s="61"/>
      <c r="K231" s="63" t="s">
        <v>339</v>
      </c>
      <c r="L231" s="62" t="s">
        <v>586</v>
      </c>
      <c r="M231" s="63">
        <v>792</v>
      </c>
    </row>
    <row r="232" spans="1:13" x14ac:dyDescent="0.25">
      <c r="A232" s="61"/>
      <c r="K232" s="63" t="s">
        <v>340</v>
      </c>
      <c r="L232" s="62" t="s">
        <v>587</v>
      </c>
      <c r="M232" s="63">
        <v>795</v>
      </c>
    </row>
    <row r="233" spans="1:13" ht="24" x14ac:dyDescent="0.25">
      <c r="A233" s="61"/>
      <c r="K233" s="63" t="s">
        <v>341</v>
      </c>
      <c r="L233" s="62" t="s">
        <v>588</v>
      </c>
      <c r="M233" s="63">
        <v>796</v>
      </c>
    </row>
    <row r="234" spans="1:13" x14ac:dyDescent="0.25">
      <c r="A234" s="61"/>
      <c r="K234" s="63" t="s">
        <v>342</v>
      </c>
      <c r="L234" s="62" t="s">
        <v>589</v>
      </c>
      <c r="M234" s="63">
        <v>798</v>
      </c>
    </row>
    <row r="235" spans="1:13" x14ac:dyDescent="0.25">
      <c r="A235" s="61"/>
      <c r="K235" s="63" t="s">
        <v>343</v>
      </c>
      <c r="L235" s="62" t="s">
        <v>590</v>
      </c>
      <c r="M235" s="63">
        <v>800</v>
      </c>
    </row>
    <row r="236" spans="1:13" x14ac:dyDescent="0.25">
      <c r="A236" s="61"/>
      <c r="K236" s="63" t="s">
        <v>344</v>
      </c>
      <c r="L236" s="62" t="s">
        <v>591</v>
      </c>
      <c r="M236" s="63">
        <v>804</v>
      </c>
    </row>
    <row r="237" spans="1:13" ht="24" x14ac:dyDescent="0.25">
      <c r="A237" s="61"/>
      <c r="K237" s="63" t="s">
        <v>345</v>
      </c>
      <c r="L237" s="62" t="s">
        <v>592</v>
      </c>
      <c r="M237" s="63">
        <v>784</v>
      </c>
    </row>
    <row r="238" spans="1:13" ht="36" x14ac:dyDescent="0.25">
      <c r="A238" s="61"/>
      <c r="K238" s="63" t="s">
        <v>346</v>
      </c>
      <c r="L238" s="62" t="s">
        <v>593</v>
      </c>
      <c r="M238" s="63">
        <v>826</v>
      </c>
    </row>
    <row r="239" spans="1:13" ht="24" x14ac:dyDescent="0.25">
      <c r="A239" s="61"/>
      <c r="K239" s="63" t="s">
        <v>347</v>
      </c>
      <c r="L239" s="62" t="s">
        <v>594</v>
      </c>
      <c r="M239" s="63">
        <v>834</v>
      </c>
    </row>
    <row r="240" spans="1:13" ht="24" x14ac:dyDescent="0.25">
      <c r="A240" s="61"/>
      <c r="K240" s="63" t="s">
        <v>348</v>
      </c>
      <c r="L240" s="62" t="s">
        <v>595</v>
      </c>
      <c r="M240" s="63">
        <v>581</v>
      </c>
    </row>
    <row r="241" spans="1:13" ht="24" x14ac:dyDescent="0.25">
      <c r="A241" s="61"/>
      <c r="K241" s="63" t="s">
        <v>349</v>
      </c>
      <c r="L241" s="62" t="s">
        <v>597</v>
      </c>
      <c r="M241" s="63">
        <v>850</v>
      </c>
    </row>
    <row r="242" spans="1:13" x14ac:dyDescent="0.25">
      <c r="A242" s="61"/>
      <c r="K242" s="63" t="s">
        <v>350</v>
      </c>
      <c r="L242" s="62" t="s">
        <v>598</v>
      </c>
      <c r="M242" s="63">
        <v>858</v>
      </c>
    </row>
    <row r="243" spans="1:13" x14ac:dyDescent="0.25">
      <c r="A243" s="61"/>
      <c r="K243" s="63" t="s">
        <v>351</v>
      </c>
      <c r="L243" s="62" t="s">
        <v>599</v>
      </c>
      <c r="M243" s="63">
        <v>860</v>
      </c>
    </row>
    <row r="244" spans="1:13" x14ac:dyDescent="0.25">
      <c r="A244" s="61"/>
      <c r="K244" s="63" t="s">
        <v>352</v>
      </c>
      <c r="L244" s="62" t="s">
        <v>600</v>
      </c>
      <c r="M244" s="63">
        <v>548</v>
      </c>
    </row>
    <row r="245" spans="1:13" ht="24" x14ac:dyDescent="0.25">
      <c r="A245" s="61"/>
      <c r="K245" s="63" t="s">
        <v>353</v>
      </c>
      <c r="L245" s="62" t="s">
        <v>601</v>
      </c>
      <c r="M245" s="63">
        <v>862</v>
      </c>
    </row>
    <row r="246" spans="1:13" x14ac:dyDescent="0.25">
      <c r="A246" s="61"/>
      <c r="K246" s="63" t="s">
        <v>354</v>
      </c>
      <c r="L246" s="62" t="s">
        <v>602</v>
      </c>
      <c r="M246" s="63">
        <v>704</v>
      </c>
    </row>
    <row r="247" spans="1:13" ht="24" x14ac:dyDescent="0.25">
      <c r="A247" s="61"/>
      <c r="K247" s="63" t="s">
        <v>355</v>
      </c>
      <c r="L247" s="62" t="s">
        <v>603</v>
      </c>
      <c r="M247" s="63">
        <v>876</v>
      </c>
    </row>
    <row r="248" spans="1:13" x14ac:dyDescent="0.25">
      <c r="A248" s="61"/>
      <c r="K248" s="63" t="s">
        <v>356</v>
      </c>
      <c r="L248" s="62" t="s">
        <v>604</v>
      </c>
      <c r="M248" s="63">
        <v>732</v>
      </c>
    </row>
    <row r="249" spans="1:13" x14ac:dyDescent="0.25">
      <c r="A249" s="61"/>
      <c r="K249" s="63" t="s">
        <v>357</v>
      </c>
      <c r="L249" s="62" t="s">
        <v>605</v>
      </c>
      <c r="M249" s="63">
        <v>887</v>
      </c>
    </row>
    <row r="250" spans="1:13" x14ac:dyDescent="0.25">
      <c r="A250" s="61"/>
      <c r="K250" s="63" t="s">
        <v>358</v>
      </c>
      <c r="L250" s="62" t="s">
        <v>606</v>
      </c>
      <c r="M250" s="63">
        <v>894</v>
      </c>
    </row>
    <row r="251" spans="1:13" x14ac:dyDescent="0.25">
      <c r="A251" s="61"/>
      <c r="K251" s="63" t="s">
        <v>359</v>
      </c>
      <c r="L251" s="62" t="s">
        <v>607</v>
      </c>
      <c r="M251" s="63">
        <v>716</v>
      </c>
    </row>
    <row r="252" spans="1:13" ht="24" x14ac:dyDescent="0.25">
      <c r="A252" s="61"/>
      <c r="K252" s="63" t="s">
        <v>111</v>
      </c>
      <c r="L252" s="62" t="s">
        <v>596</v>
      </c>
      <c r="M252" s="63">
        <v>840</v>
      </c>
    </row>
    <row r="253" spans="1:13" x14ac:dyDescent="0.25">
      <c r="A253" s="61"/>
    </row>
    <row r="254" spans="1:13" x14ac:dyDescent="0.25">
      <c r="A254" s="61"/>
    </row>
    <row r="255" spans="1:13" x14ac:dyDescent="0.25">
      <c r="A255" s="61"/>
    </row>
    <row r="256" spans="1:13" x14ac:dyDescent="0.25">
      <c r="A256" s="61"/>
    </row>
    <row r="257" spans="1:1" x14ac:dyDescent="0.25">
      <c r="A257" s="61"/>
    </row>
    <row r="258" spans="1:1" x14ac:dyDescent="0.25">
      <c r="A258" s="61"/>
    </row>
    <row r="259" spans="1:1" x14ac:dyDescent="0.25">
      <c r="A259" s="61"/>
    </row>
    <row r="260" spans="1:1" x14ac:dyDescent="0.25">
      <c r="A260" s="61"/>
    </row>
    <row r="261" spans="1:1" x14ac:dyDescent="0.25">
      <c r="A261" s="61"/>
    </row>
    <row r="262" spans="1:1" x14ac:dyDescent="0.25">
      <c r="A262" s="61"/>
    </row>
    <row r="263" spans="1:1" x14ac:dyDescent="0.25">
      <c r="A263" s="61"/>
    </row>
    <row r="264" spans="1:1" x14ac:dyDescent="0.25">
      <c r="A264" s="61"/>
    </row>
    <row r="265" spans="1:1" x14ac:dyDescent="0.25">
      <c r="A265" s="61"/>
    </row>
    <row r="266" spans="1:1" x14ac:dyDescent="0.25">
      <c r="A266" s="61"/>
    </row>
    <row r="267" spans="1:1" x14ac:dyDescent="0.25">
      <c r="A267" s="61"/>
    </row>
    <row r="268" spans="1:1" x14ac:dyDescent="0.25">
      <c r="A268" s="61"/>
    </row>
    <row r="269" spans="1:1" x14ac:dyDescent="0.25">
      <c r="A269" s="61"/>
    </row>
    <row r="270" spans="1:1" x14ac:dyDescent="0.25">
      <c r="A270" s="61"/>
    </row>
    <row r="271" spans="1:1" x14ac:dyDescent="0.25">
      <c r="A271" s="61"/>
    </row>
    <row r="272" spans="1:1" x14ac:dyDescent="0.25">
      <c r="A272" s="61"/>
    </row>
    <row r="273" spans="1:1" x14ac:dyDescent="0.25">
      <c r="A273" s="61"/>
    </row>
    <row r="274" spans="1:1" x14ac:dyDescent="0.25">
      <c r="A274" s="61"/>
    </row>
    <row r="275" spans="1:1" x14ac:dyDescent="0.25">
      <c r="A275" s="61"/>
    </row>
    <row r="276" spans="1:1" x14ac:dyDescent="0.25">
      <c r="A276" s="61"/>
    </row>
    <row r="277" spans="1:1" x14ac:dyDescent="0.25">
      <c r="A277" s="61"/>
    </row>
    <row r="278" spans="1:1" x14ac:dyDescent="0.25">
      <c r="A278" s="61"/>
    </row>
    <row r="279" spans="1:1" x14ac:dyDescent="0.25">
      <c r="A279" s="61"/>
    </row>
    <row r="280" spans="1:1" x14ac:dyDescent="0.25">
      <c r="A280" s="61"/>
    </row>
    <row r="281" spans="1:1" x14ac:dyDescent="0.25">
      <c r="A281" s="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Timeline</vt:lpstr>
      <vt:lpstr>NIH Documents</vt:lpstr>
      <vt:lpstr>Budget</vt:lpstr>
      <vt:lpstr>lists</vt:lpstr>
      <vt:lpstr>agelist</vt:lpstr>
      <vt:lpstr>allocationlist</vt:lpstr>
      <vt:lpstr>countrylist</vt:lpstr>
      <vt:lpstr>firstlist</vt:lpstr>
      <vt:lpstr>modellist</vt:lpstr>
      <vt:lpstr>phaselist</vt:lpstr>
      <vt:lpstr>Budget!Print_Area</vt:lpstr>
      <vt:lpstr>'NIH Documents'!Print_Area</vt:lpstr>
      <vt:lpstr>purposelist</vt:lpstr>
      <vt:lpstr>recruitmentlist</vt:lpstr>
    </vt:vector>
  </TitlesOfParts>
  <Company>University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Koch</dc:creator>
  <cp:lastModifiedBy>Karen</cp:lastModifiedBy>
  <cp:lastPrinted>2018-07-26T15:14:52Z</cp:lastPrinted>
  <dcterms:created xsi:type="dcterms:W3CDTF">2012-03-13T14:46:09Z</dcterms:created>
  <dcterms:modified xsi:type="dcterms:W3CDTF">2019-09-16T18:53:10Z</dcterms:modified>
</cp:coreProperties>
</file>