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malea.BLUEHEN\Dropbox\CropBudgets\New Budgets\2016FreshMarket\"/>
    </mc:Choice>
  </mc:AlternateContent>
  <bookViews>
    <workbookView xWindow="480" yWindow="108" windowWidth="9696" windowHeight="7296"/>
  </bookViews>
  <sheets>
    <sheet name="Estimated" sheetId="1" r:id="rId1"/>
    <sheet name="Actual" sheetId="3" r:id="rId2"/>
  </sheets>
  <calcPr calcId="152511"/>
</workbook>
</file>

<file path=xl/calcChain.xml><?xml version="1.0" encoding="utf-8"?>
<calcChain xmlns="http://schemas.openxmlformats.org/spreadsheetml/2006/main">
  <c r="E60" i="3" l="1"/>
  <c r="E52" i="3"/>
  <c r="E53" i="3"/>
  <c r="E54" i="3"/>
  <c r="E55" i="3"/>
  <c r="E56" i="3"/>
  <c r="E57" i="3"/>
  <c r="B39" i="3"/>
  <c r="E32" i="3"/>
  <c r="E33" i="3"/>
  <c r="E34" i="3"/>
  <c r="E35" i="3"/>
  <c r="E36" i="3"/>
  <c r="E37" i="3"/>
  <c r="E38" i="3"/>
  <c r="E69" i="3"/>
  <c r="D66" i="3"/>
  <c r="C66" i="3"/>
  <c r="E66" i="3" s="1"/>
  <c r="E65" i="3"/>
  <c r="D65" i="3"/>
  <c r="C65" i="3"/>
  <c r="E64" i="3"/>
  <c r="D64" i="3"/>
  <c r="C64" i="3"/>
  <c r="E59" i="3"/>
  <c r="E58" i="3"/>
  <c r="E51" i="3"/>
  <c r="E50" i="3"/>
  <c r="E49" i="3"/>
  <c r="E47" i="3"/>
  <c r="E46" i="3"/>
  <c r="E45" i="3"/>
  <c r="E44" i="3"/>
  <c r="E31" i="3"/>
  <c r="E30" i="3"/>
  <c r="E29" i="3"/>
  <c r="E28" i="3"/>
  <c r="D27" i="3"/>
  <c r="E27" i="3" s="1"/>
  <c r="D26" i="3"/>
  <c r="E26" i="3" s="1"/>
  <c r="E25" i="3"/>
  <c r="D25" i="3"/>
  <c r="D24" i="3"/>
  <c r="E24" i="3" s="1"/>
  <c r="D23" i="3"/>
  <c r="E23" i="3" s="1"/>
  <c r="D22" i="3"/>
  <c r="E22" i="3" s="1"/>
  <c r="H21" i="3"/>
  <c r="D21" i="3"/>
  <c r="E21" i="3" s="1"/>
  <c r="H20" i="3"/>
  <c r="E20" i="3"/>
  <c r="H19" i="3"/>
  <c r="G72" i="3" s="1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17" i="1"/>
  <c r="E18" i="1"/>
  <c r="E19" i="1"/>
  <c r="E20" i="1"/>
  <c r="E21" i="1"/>
  <c r="E22" i="1"/>
  <c r="E23" i="1"/>
  <c r="E9" i="1"/>
  <c r="E39" i="3" l="1"/>
  <c r="E40" i="3" s="1"/>
  <c r="C53" i="1"/>
  <c r="C52" i="1"/>
  <c r="C51" i="1"/>
  <c r="K10" i="3" l="1"/>
  <c r="K8" i="3"/>
  <c r="J10" i="3"/>
  <c r="J8" i="3"/>
  <c r="I9" i="3"/>
  <c r="E68" i="3"/>
  <c r="E70" i="3" s="1"/>
  <c r="I10" i="3"/>
  <c r="I8" i="3"/>
  <c r="K9" i="3"/>
  <c r="J9" i="3"/>
  <c r="E15" i="1"/>
  <c r="D53" i="1" l="1"/>
  <c r="D52" i="1"/>
  <c r="D51" i="1"/>
  <c r="D24" i="1" l="1"/>
  <c r="E24" i="1" l="1"/>
  <c r="E28" i="1" l="1"/>
  <c r="E29" i="1"/>
  <c r="E44" i="1"/>
  <c r="E43" i="1"/>
  <c r="E14" i="1" l="1"/>
  <c r="E11" i="1" l="1"/>
  <c r="E39" i="1" l="1"/>
  <c r="D23" i="1"/>
  <c r="D22" i="1"/>
  <c r="D21" i="1"/>
  <c r="D25" i="1"/>
  <c r="E25" i="1" s="1"/>
  <c r="D26" i="1"/>
  <c r="E26" i="1" s="1"/>
  <c r="D27" i="1"/>
  <c r="E27" i="1" s="1"/>
  <c r="E16" i="1"/>
  <c r="E31" i="1" l="1"/>
  <c r="E30" i="1" l="1"/>
  <c r="H20" i="1" l="1"/>
  <c r="H21" i="1" s="1"/>
  <c r="H19" i="1"/>
  <c r="E13" i="1"/>
  <c r="E52" i="1"/>
  <c r="E53" i="1"/>
  <c r="E51" i="1"/>
  <c r="E10" i="1"/>
  <c r="E7" i="1"/>
  <c r="E8" i="1"/>
  <c r="E6" i="1"/>
  <c r="E12" i="1"/>
  <c r="E56" i="1"/>
  <c r="E37" i="1"/>
  <c r="E38" i="1"/>
  <c r="E40" i="1"/>
  <c r="E42" i="1"/>
  <c r="E45" i="1"/>
  <c r="E46" i="1"/>
  <c r="G59" i="1" l="1"/>
  <c r="E47" i="1"/>
  <c r="B32" i="1" l="1"/>
  <c r="E32" i="1" s="1"/>
  <c r="E33" i="1" s="1"/>
  <c r="I10" i="1" s="1"/>
  <c r="K10" i="1" l="1"/>
  <c r="J10" i="1"/>
  <c r="J8" i="1"/>
  <c r="K8" i="1"/>
  <c r="I8" i="1"/>
  <c r="E55" i="1"/>
  <c r="E57" i="1" s="1"/>
  <c r="I9" i="1"/>
  <c r="K9" i="1"/>
  <c r="J9" i="1"/>
</calcChain>
</file>

<file path=xl/sharedStrings.xml><?xml version="1.0" encoding="utf-8"?>
<sst xmlns="http://schemas.openxmlformats.org/spreadsheetml/2006/main" count="268" uniqueCount="102">
  <si>
    <t>University of Delaware Cooperative Extension Vegetable Crop Budget-2017</t>
  </si>
  <si>
    <t>Estimated Costs - Do not make changes here.</t>
  </si>
  <si>
    <t>VARIABLE COSTS</t>
  </si>
  <si>
    <t>Returns Based On Example Costs</t>
  </si>
  <si>
    <t>Input/Item</t>
  </si>
  <si>
    <t>Unit</t>
  </si>
  <si>
    <t>Price/Unit</t>
  </si>
  <si>
    <t>Cost/Acre</t>
  </si>
  <si>
    <t>Nitrogen</t>
  </si>
  <si>
    <t>lbs</t>
  </si>
  <si>
    <t>High</t>
  </si>
  <si>
    <t>Average</t>
  </si>
  <si>
    <t>Low</t>
  </si>
  <si>
    <t>Phosphorous</t>
  </si>
  <si>
    <t>Potassium</t>
  </si>
  <si>
    <t>Excellent</t>
  </si>
  <si>
    <t>Lime (prorated over 3 years)</t>
  </si>
  <si>
    <t>ton</t>
  </si>
  <si>
    <t>Expected</t>
  </si>
  <si>
    <t>Boron</t>
  </si>
  <si>
    <t>Poor</t>
  </si>
  <si>
    <r>
      <t>Seed</t>
    </r>
    <r>
      <rPr>
        <vertAlign val="superscript"/>
        <sz val="10"/>
        <rFont val="Calibri"/>
        <family val="2"/>
      </rPr>
      <t>1</t>
    </r>
  </si>
  <si>
    <t>thousand</t>
  </si>
  <si>
    <t>Plastic Mulch</t>
  </si>
  <si>
    <t>feet</t>
  </si>
  <si>
    <t xml:space="preserve">Field Description: This information is used to determine the number of  </t>
  </si>
  <si>
    <t>Transplant Production</t>
  </si>
  <si>
    <t>72 cell tray</t>
  </si>
  <si>
    <t>transplants, yards of plastic mulch, and the amount of herbicide applied.</t>
  </si>
  <si>
    <t xml:space="preserve">Rows are on </t>
  </si>
  <si>
    <t>foot centers</t>
  </si>
  <si>
    <t>There are</t>
  </si>
  <si>
    <t>feet between plants in the row</t>
  </si>
  <si>
    <t>mulched feet/acre</t>
  </si>
  <si>
    <t>plants per acre</t>
  </si>
  <si>
    <t>hour</t>
  </si>
  <si>
    <t>Laying Mulch</t>
  </si>
  <si>
    <t>acre</t>
  </si>
  <si>
    <t>Lifting Mulch</t>
  </si>
  <si>
    <t>(Custom rate for vertical tillage is $18.55, custom rate for moldboard is $24.67.)</t>
  </si>
  <si>
    <t>Mulch Disposal</t>
  </si>
  <si>
    <r>
      <t>Interest on Variable Costs</t>
    </r>
    <r>
      <rPr>
        <vertAlign val="superscript"/>
        <sz val="10"/>
        <rFont val="Calibri"/>
        <family val="2"/>
      </rPr>
      <t>2</t>
    </r>
  </si>
  <si>
    <t>Total Variable Costs</t>
  </si>
  <si>
    <t>FIXED COSTS (custom rates are used as a proxy for field operation costs)</t>
  </si>
  <si>
    <t>Units/A</t>
  </si>
  <si>
    <r>
      <t xml:space="preserve">Applying Fertilizer </t>
    </r>
    <r>
      <rPr>
        <b/>
        <sz val="10"/>
        <rFont val="Calibri"/>
        <family val="2"/>
      </rPr>
      <t>Broadcast</t>
    </r>
  </si>
  <si>
    <t>application</t>
  </si>
  <si>
    <r>
      <t>Applying Chemicals</t>
    </r>
    <r>
      <rPr>
        <b/>
        <sz val="10"/>
        <rFont val="Calibri"/>
        <family val="2"/>
      </rPr>
      <t xml:space="preserve"> Ground</t>
    </r>
  </si>
  <si>
    <t>Tillage (Chisel)</t>
  </si>
  <si>
    <t>Disk &amp; Harrowing</t>
  </si>
  <si>
    <t>acre inch</t>
  </si>
  <si>
    <t>Total Fixed Costs</t>
  </si>
  <si>
    <t>Yield Dependent Costs</t>
  </si>
  <si>
    <t>Total Cash Costs at Expected Yield</t>
  </si>
  <si>
    <t>Expected Returns (price x yield)</t>
  </si>
  <si>
    <t>Net Available for Rent or Land Payment</t>
  </si>
  <si>
    <t>Use accompanying irrigation cost calculator to determine your irrigation costs.</t>
  </si>
  <si>
    <t>Actual Costs - Enter your actual information in the yellow highlighted cells.</t>
  </si>
  <si>
    <t>Returns Based On Actual Costs</t>
  </si>
  <si>
    <t>qt</t>
  </si>
  <si>
    <r>
      <t>Irrigation (fixed costs)</t>
    </r>
    <r>
      <rPr>
        <vertAlign val="superscript"/>
        <sz val="10"/>
        <rFont val="Calibri"/>
        <family val="2"/>
      </rPr>
      <t>3</t>
    </r>
  </si>
  <si>
    <r>
      <t>Irrigation (operating costs)</t>
    </r>
    <r>
      <rPr>
        <vertAlign val="superscript"/>
        <sz val="10"/>
        <rFont val="Calibri"/>
        <family val="2"/>
      </rPr>
      <t>3</t>
    </r>
  </si>
  <si>
    <t>Sulfur</t>
  </si>
  <si>
    <t>String</t>
  </si>
  <si>
    <t>box (6300 ft)</t>
  </si>
  <si>
    <t>pints</t>
  </si>
  <si>
    <t>of the broadcast acre rate.</t>
  </si>
  <si>
    <r>
      <t xml:space="preserve">1 </t>
    </r>
    <r>
      <rPr>
        <sz val="10"/>
        <rFont val="Calibri"/>
        <family val="2"/>
      </rPr>
      <t>Herbicides applied as a banded application to beds before plastic laying. Herbicide rate is calculated as</t>
    </r>
  </si>
  <si>
    <r>
      <t>Herbicide - Devrinol</t>
    </r>
    <r>
      <rPr>
        <vertAlign val="superscript"/>
        <sz val="10"/>
        <rFont val="Calibri"/>
        <family val="2"/>
      </rPr>
      <t>1</t>
    </r>
  </si>
  <si>
    <r>
      <t>Herbicide - metribuzin</t>
    </r>
    <r>
      <rPr>
        <vertAlign val="superscript"/>
        <sz val="10"/>
        <color rgb="FF000000"/>
        <rFont val="Calibri"/>
        <family val="2"/>
      </rPr>
      <t>1</t>
    </r>
  </si>
  <si>
    <t>Insecticide - Sniper</t>
  </si>
  <si>
    <t>oz</t>
  </si>
  <si>
    <t>Insecticide - Radiant</t>
  </si>
  <si>
    <t>Fungicide - Kocide</t>
  </si>
  <si>
    <t>Fungicide - Quintec</t>
  </si>
  <si>
    <t>Fungicide - Bravo</t>
  </si>
  <si>
    <t>Hooded Sprayer</t>
  </si>
  <si>
    <t>Insecticide - Assail</t>
  </si>
  <si>
    <t>Transplant Operator</t>
  </si>
  <si>
    <t>pint</t>
  </si>
  <si>
    <r>
      <t>Herbicide - Gramoxone</t>
    </r>
    <r>
      <rPr>
        <vertAlign val="superscript"/>
        <sz val="10"/>
        <rFont val="Calibri"/>
        <family val="2"/>
      </rPr>
      <t>1</t>
    </r>
  </si>
  <si>
    <r>
      <t>Herbicide - Prowl H</t>
    </r>
    <r>
      <rPr>
        <vertAlign val="subscript"/>
        <sz val="10"/>
        <rFont val="Calibri"/>
        <family val="2"/>
      </rPr>
      <t>2</t>
    </r>
    <r>
      <rPr>
        <sz val="10"/>
        <rFont val="Calibri"/>
        <family val="2"/>
      </rPr>
      <t>O</t>
    </r>
    <r>
      <rPr>
        <vertAlign val="superscript"/>
        <sz val="10"/>
        <rFont val="Calibri"/>
        <family val="2"/>
      </rPr>
      <t>1</t>
    </r>
  </si>
  <si>
    <t>Labor - Planting</t>
  </si>
  <si>
    <t>Labor - Staking and Tying</t>
  </si>
  <si>
    <t>Labor - Removing Mulch, Stakes and Twine</t>
  </si>
  <si>
    <t>Fungicide - mancozeb</t>
  </si>
  <si>
    <t>Yield Assumptions (boxes/A)</t>
  </si>
  <si>
    <t>Price Assumptions ($/box)</t>
  </si>
  <si>
    <t>bundle (100)</t>
  </si>
  <si>
    <t>Stakes (4 ft) prorated over 3 years</t>
  </si>
  <si>
    <r>
      <t>2</t>
    </r>
    <r>
      <rPr>
        <sz val="10"/>
        <rFont val="Calibri"/>
        <family val="2"/>
      </rPr>
      <t xml:space="preserve"> Cells , from left to right, correspond to total variable costs, number of months interest is charged, and interest rate.</t>
    </r>
  </si>
  <si>
    <r>
      <t>3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</si>
  <si>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t>Assumes 25 lbs/box</t>
  </si>
  <si>
    <r>
      <t>Harvest and Packing at Excellent Yield</t>
    </r>
    <r>
      <rPr>
        <vertAlign val="superscript"/>
        <sz val="10"/>
        <rFont val="Calibri"/>
        <family val="2"/>
      </rPr>
      <t>4</t>
    </r>
  </si>
  <si>
    <r>
      <t xml:space="preserve">4 </t>
    </r>
    <r>
      <rPr>
        <sz val="10"/>
        <rFont val="Calibri"/>
        <family val="2"/>
      </rPr>
      <t>Assumes 25 lbs/box. Costs are $1.15 for box + $1.80 harvest labor + $0.75 packing labor</t>
    </r>
  </si>
  <si>
    <t>box</t>
  </si>
  <si>
    <r>
      <t>Harvest and Packing at Expected Yield</t>
    </r>
    <r>
      <rPr>
        <vertAlign val="superscript"/>
        <sz val="10"/>
        <rFont val="Calibri"/>
        <family val="2"/>
      </rPr>
      <t>4</t>
    </r>
  </si>
  <si>
    <r>
      <t>Harvest and Packing at Poor Yield</t>
    </r>
    <r>
      <rPr>
        <vertAlign val="superscript"/>
        <sz val="10"/>
        <rFont val="Calibri"/>
        <family val="2"/>
      </rPr>
      <t>4</t>
    </r>
  </si>
  <si>
    <r>
      <t>acres unmulched/A</t>
    </r>
    <r>
      <rPr>
        <vertAlign val="superscript"/>
        <sz val="10"/>
        <rFont val="Calibri"/>
        <family val="2"/>
      </rPr>
      <t>1</t>
    </r>
  </si>
  <si>
    <t>acre year</t>
  </si>
  <si>
    <r>
      <t xml:space="preserve">4 </t>
    </r>
    <r>
      <rPr>
        <sz val="10"/>
        <rFont val="Calibri"/>
        <family val="2"/>
      </rPr>
      <t>Include costs for harvest and packing labor, materials and equipment, i.e. $1.15 for box (25 lb) + $1.80 harvest labor + $0.75 packing labor</t>
    </r>
  </si>
  <si>
    <t>TOMATOES - FRESH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</si>
</sst>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&quot;$&quot;#,##0.00"/>
    <numFmt numFmtId="165" formatCode="0.000"/>
    <numFmt numFmtId="166" formatCode="0.0%"/>
  </numFmts>
  <fonts count="18" x14ac:knownFonts="1">
    <font>
      <sz val="10"/>
      <name val="Arial"/>
    </font>
    <font>
      <sz val="8"/>
      <name val="Arial"/>
      <family val="2"/>
    </font>
    <font>
      <b/>
      <u/>
      <sz val="12"/>
      <name val="Calibri"/>
      <family val="2"/>
    </font>
    <font>
      <sz val="10"/>
      <name val="Calibri"/>
      <family val="2"/>
    </font>
    <font>
      <b/>
      <sz val="10"/>
      <color indexed="57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vertAlign val="subscript"/>
      <sz val="10"/>
      <name val="Calibri"/>
      <family val="2"/>
    </font>
    <font>
      <vertAlign val="superscript"/>
      <sz val="10"/>
      <color rgb="FF000000"/>
      <name val="Calibri"/>
      <family val="2"/>
    </font>
    <font>
      <sz val="10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3" fillId="0" borderId="0" xfId="0" applyFont="1" applyBorder="1"/>
    <xf numFmtId="0" fontId="7" fillId="0" borderId="0" xfId="0" applyFont="1" applyBorder="1"/>
    <xf numFmtId="164" fontId="6" fillId="0" borderId="0" xfId="0" applyNumberFormat="1" applyFont="1" applyFill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164" fontId="5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Border="1" applyProtection="1">
      <protection locked="0"/>
    </xf>
    <xf numFmtId="0" fontId="9" fillId="2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0" fontId="10" fillId="2" borderId="0" xfId="0" applyFont="1" applyFill="1" applyBorder="1"/>
    <xf numFmtId="0" fontId="3" fillId="0" borderId="1" xfId="0" applyFont="1" applyBorder="1"/>
    <xf numFmtId="164" fontId="3" fillId="0" borderId="1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0" fillId="2" borderId="4" xfId="0" applyFont="1" applyFill="1" applyBorder="1"/>
    <xf numFmtId="0" fontId="3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/>
    <xf numFmtId="0" fontId="3" fillId="0" borderId="6" xfId="0" applyFont="1" applyBorder="1"/>
    <xf numFmtId="164" fontId="3" fillId="0" borderId="7" xfId="0" applyNumberFormat="1" applyFont="1" applyFill="1" applyBorder="1" applyAlignment="1">
      <alignment horizontal="center"/>
    </xf>
    <xf numFmtId="0" fontId="7" fillId="0" borderId="6" xfId="0" applyFont="1" applyBorder="1"/>
    <xf numFmtId="164" fontId="6" fillId="4" borderId="7" xfId="0" applyNumberFormat="1" applyFont="1" applyFill="1" applyBorder="1" applyAlignment="1">
      <alignment horizontal="center"/>
    </xf>
    <xf numFmtId="0" fontId="11" fillId="0" borderId="0" xfId="0" applyFont="1" applyBorder="1"/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6" xfId="0" applyFont="1" applyFill="1" applyBorder="1"/>
    <xf numFmtId="0" fontId="13" fillId="0" borderId="0" xfId="0" applyFont="1" applyBorder="1"/>
    <xf numFmtId="3" fontId="3" fillId="0" borderId="1" xfId="0" applyNumberFormat="1" applyFont="1" applyBorder="1"/>
    <xf numFmtId="0" fontId="6" fillId="0" borderId="0" xfId="0" applyFont="1" applyFill="1" applyBorder="1" applyAlignment="1">
      <alignment horizontal="right"/>
    </xf>
    <xf numFmtId="164" fontId="3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0" fontId="9" fillId="0" borderId="0" xfId="0" applyFont="1" applyFill="1" applyBorder="1"/>
    <xf numFmtId="0" fontId="6" fillId="0" borderId="3" xfId="0" applyFont="1" applyFill="1" applyBorder="1"/>
    <xf numFmtId="0" fontId="10" fillId="0" borderId="0" xfId="0" applyFont="1" applyFill="1" applyBorder="1"/>
    <xf numFmtId="0" fontId="6" fillId="0" borderId="3" xfId="0" applyFont="1" applyFill="1" applyBorder="1" applyAlignment="1">
      <alignment horizontal="right"/>
    </xf>
    <xf numFmtId="0" fontId="3" fillId="0" borderId="6" xfId="0" applyFont="1" applyFill="1" applyBorder="1"/>
    <xf numFmtId="164" fontId="3" fillId="0" borderId="7" xfId="0" applyNumberFormat="1" applyFont="1" applyFill="1" applyBorder="1"/>
    <xf numFmtId="0" fontId="9" fillId="5" borderId="3" xfId="0" applyFont="1" applyFill="1" applyBorder="1"/>
    <xf numFmtId="0" fontId="9" fillId="5" borderId="7" xfId="0" applyFont="1" applyFill="1" applyBorder="1"/>
    <xf numFmtId="3" fontId="6" fillId="0" borderId="0" xfId="0" applyNumberFormat="1" applyFont="1" applyFill="1" applyBorder="1"/>
    <xf numFmtId="166" fontId="6" fillId="0" borderId="0" xfId="0" applyNumberFormat="1" applyFont="1" applyBorder="1" applyAlignment="1">
      <alignment horizontal="center"/>
    </xf>
    <xf numFmtId="0" fontId="10" fillId="2" borderId="9" xfId="0" applyFont="1" applyFill="1" applyBorder="1"/>
    <xf numFmtId="0" fontId="12" fillId="2" borderId="10" xfId="0" applyFont="1" applyFill="1" applyBorder="1"/>
    <xf numFmtId="0" fontId="12" fillId="0" borderId="0" xfId="0" applyFont="1" applyFill="1" applyBorder="1"/>
    <xf numFmtId="0" fontId="7" fillId="0" borderId="0" xfId="0" applyFont="1" applyFill="1" applyBorder="1"/>
    <xf numFmtId="0" fontId="3" fillId="0" borderId="0" xfId="0" applyFont="1" applyFill="1" applyBorder="1" applyProtection="1">
      <protection locked="0"/>
    </xf>
    <xf numFmtId="0" fontId="3" fillId="6" borderId="9" xfId="0" applyFont="1" applyFill="1" applyBorder="1" applyAlignment="1">
      <alignment horizontal="right"/>
    </xf>
    <xf numFmtId="0" fontId="6" fillId="6" borderId="10" xfId="0" applyFont="1" applyFill="1" applyBorder="1" applyAlignment="1">
      <alignment horizontal="center"/>
    </xf>
    <xf numFmtId="0" fontId="3" fillId="6" borderId="10" xfId="0" applyFont="1" applyFill="1" applyBorder="1"/>
    <xf numFmtId="0" fontId="3" fillId="6" borderId="11" xfId="0" applyFont="1" applyFill="1" applyBorder="1"/>
    <xf numFmtId="0" fontId="6" fillId="6" borderId="0" xfId="0" applyFont="1" applyFill="1" applyBorder="1" applyAlignment="1">
      <alignment horizontal="center"/>
    </xf>
    <xf numFmtId="0" fontId="3" fillId="6" borderId="0" xfId="0" applyFont="1" applyFill="1" applyBorder="1"/>
    <xf numFmtId="0" fontId="3" fillId="6" borderId="4" xfId="0" applyFont="1" applyFill="1" applyBorder="1"/>
    <xf numFmtId="165" fontId="6" fillId="6" borderId="0" xfId="0" applyNumberFormat="1" applyFont="1" applyFill="1" applyBorder="1" applyAlignment="1">
      <alignment horizontal="center"/>
    </xf>
    <xf numFmtId="1" fontId="6" fillId="6" borderId="0" xfId="0" applyNumberFormat="1" applyFont="1" applyFill="1" applyBorder="1" applyAlignment="1">
      <alignment horizontal="center"/>
    </xf>
    <xf numFmtId="1" fontId="6" fillId="6" borderId="13" xfId="0" applyNumberFormat="1" applyFont="1" applyFill="1" applyBorder="1" applyAlignment="1">
      <alignment horizontal="center"/>
    </xf>
    <xf numFmtId="0" fontId="3" fillId="6" borderId="13" xfId="0" applyFont="1" applyFill="1" applyBorder="1"/>
    <xf numFmtId="0" fontId="3" fillId="6" borderId="14" xfId="0" applyFont="1" applyFill="1" applyBorder="1"/>
    <xf numFmtId="0" fontId="3" fillId="6" borderId="5" xfId="0" applyFont="1" applyFill="1" applyBorder="1" applyAlignment="1">
      <alignment horizontal="right"/>
    </xf>
    <xf numFmtId="0" fontId="3" fillId="6" borderId="12" xfId="0" applyFont="1" applyFill="1" applyBorder="1" applyAlignment="1">
      <alignment horizontal="right"/>
    </xf>
    <xf numFmtId="0" fontId="17" fillId="0" borderId="0" xfId="0" applyFont="1" applyBorder="1"/>
    <xf numFmtId="0" fontId="17" fillId="0" borderId="0" xfId="0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3" fillId="0" borderId="2" xfId="0" applyFont="1" applyFill="1" applyBorder="1"/>
    <xf numFmtId="0" fontId="14" fillId="0" borderId="1" xfId="0" applyFont="1" applyFill="1" applyBorder="1"/>
    <xf numFmtId="0" fontId="3" fillId="0" borderId="7" xfId="0" applyFont="1" applyFill="1" applyBorder="1"/>
    <xf numFmtId="1" fontId="3" fillId="0" borderId="1" xfId="0" applyNumberFormat="1" applyFont="1" applyFill="1" applyBorder="1"/>
    <xf numFmtId="10" fontId="3" fillId="0" borderId="1" xfId="0" applyNumberFormat="1" applyFont="1" applyFill="1" applyBorder="1"/>
    <xf numFmtId="3" fontId="6" fillId="0" borderId="7" xfId="0" applyNumberFormat="1" applyFont="1" applyFill="1" applyBorder="1"/>
    <xf numFmtId="8" fontId="6" fillId="0" borderId="8" xfId="0" applyNumberFormat="1" applyFont="1" applyFill="1" applyBorder="1" applyAlignment="1">
      <alignment horizontal="center"/>
    </xf>
    <xf numFmtId="164" fontId="6" fillId="0" borderId="8" xfId="0" applyNumberFormat="1" applyFont="1" applyFill="1" applyBorder="1" applyAlignment="1">
      <alignment horizontal="center"/>
    </xf>
    <xf numFmtId="0" fontId="7" fillId="0" borderId="3" xfId="0" applyFont="1" applyBorder="1"/>
    <xf numFmtId="0" fontId="8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13" fillId="0" borderId="0" xfId="0" applyFont="1" applyBorder="1" applyProtection="1"/>
    <xf numFmtId="0" fontId="4" fillId="0" borderId="0" xfId="0" applyFont="1" applyBorder="1" applyProtection="1"/>
    <xf numFmtId="0" fontId="9" fillId="2" borderId="0" xfId="0" applyFont="1" applyFill="1" applyBorder="1" applyProtection="1"/>
    <xf numFmtId="0" fontId="4" fillId="2" borderId="0" xfId="0" applyFont="1" applyFill="1" applyBorder="1" applyProtection="1"/>
    <xf numFmtId="0" fontId="3" fillId="2" borderId="0" xfId="0" applyFont="1" applyFill="1" applyBorder="1" applyProtection="1"/>
    <xf numFmtId="0" fontId="3" fillId="0" borderId="0" xfId="0" applyFont="1" applyFill="1" applyBorder="1" applyProtection="1"/>
    <xf numFmtId="0" fontId="8" fillId="0" borderId="0" xfId="0" applyFont="1" applyFill="1" applyBorder="1" applyProtection="1"/>
    <xf numFmtId="0" fontId="5" fillId="0" borderId="0" xfId="0" applyFont="1" applyFill="1" applyBorder="1" applyProtection="1"/>
    <xf numFmtId="0" fontId="6" fillId="3" borderId="1" xfId="0" applyFont="1" applyFill="1" applyBorder="1" applyProtection="1"/>
    <xf numFmtId="164" fontId="6" fillId="3" borderId="1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10" fillId="2" borderId="0" xfId="0" applyFont="1" applyFill="1" applyBorder="1" applyProtection="1"/>
    <xf numFmtId="0" fontId="9" fillId="2" borderId="0" xfId="0" applyFont="1" applyFill="1" applyBorder="1" applyAlignment="1" applyProtection="1">
      <alignment horizontal="center"/>
    </xf>
    <xf numFmtId="0" fontId="10" fillId="2" borderId="4" xfId="0" applyFont="1" applyFill="1" applyBorder="1" applyProtection="1"/>
    <xf numFmtId="0" fontId="5" fillId="0" borderId="0" xfId="0" applyFont="1" applyBorder="1" applyProtection="1"/>
    <xf numFmtId="0" fontId="3" fillId="0" borderId="1" xfId="0" applyFont="1" applyFill="1" applyBorder="1" applyProtection="1"/>
    <xf numFmtId="164" fontId="3" fillId="7" borderId="1" xfId="0" applyNumberFormat="1" applyFont="1" applyFill="1" applyBorder="1" applyProtection="1"/>
    <xf numFmtId="0" fontId="3" fillId="7" borderId="1" xfId="0" applyFont="1" applyFill="1" applyBorder="1" applyProtection="1"/>
    <xf numFmtId="164" fontId="3" fillId="0" borderId="1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2" xfId="0" applyFont="1" applyFill="1" applyBorder="1" applyAlignment="1" applyProtection="1">
      <alignment horizontal="center"/>
    </xf>
    <xf numFmtId="164" fontId="6" fillId="0" borderId="2" xfId="0" applyNumberFormat="1" applyFont="1" applyFill="1" applyBorder="1" applyAlignment="1" applyProtection="1">
      <alignment horizontal="center"/>
    </xf>
    <xf numFmtId="0" fontId="9" fillId="5" borderId="3" xfId="0" applyFont="1" applyFill="1" applyBorder="1" applyProtection="1"/>
    <xf numFmtId="0" fontId="9" fillId="5" borderId="7" xfId="0" applyFont="1" applyFill="1" applyBorder="1" applyProtection="1"/>
    <xf numFmtId="0" fontId="6" fillId="0" borderId="3" xfId="0" applyFont="1" applyFill="1" applyBorder="1" applyProtection="1"/>
    <xf numFmtId="3" fontId="6" fillId="0" borderId="0" xfId="0" applyNumberFormat="1" applyFont="1" applyFill="1" applyBorder="1" applyProtection="1"/>
    <xf numFmtId="0" fontId="9" fillId="0" borderId="0" xfId="0" applyFont="1" applyFill="1" applyBorder="1" applyProtection="1"/>
    <xf numFmtId="0" fontId="10" fillId="0" borderId="0" xfId="0" applyFont="1" applyFill="1" applyBorder="1" applyProtection="1"/>
    <xf numFmtId="0" fontId="3" fillId="0" borderId="2" xfId="0" applyFont="1" applyFill="1" applyBorder="1" applyProtection="1"/>
    <xf numFmtId="0" fontId="3" fillId="6" borderId="9" xfId="0" applyFont="1" applyFill="1" applyBorder="1" applyAlignment="1" applyProtection="1">
      <alignment horizontal="right"/>
    </xf>
    <xf numFmtId="0" fontId="3" fillId="6" borderId="10" xfId="0" applyFont="1" applyFill="1" applyBorder="1" applyProtection="1"/>
    <xf numFmtId="0" fontId="3" fillId="6" borderId="11" xfId="0" applyFont="1" applyFill="1" applyBorder="1" applyProtection="1"/>
    <xf numFmtId="0" fontId="3" fillId="6" borderId="5" xfId="0" applyFont="1" applyFill="1" applyBorder="1" applyAlignment="1" applyProtection="1">
      <alignment horizontal="right"/>
    </xf>
    <xf numFmtId="0" fontId="3" fillId="6" borderId="0" xfId="0" applyFont="1" applyFill="1" applyBorder="1" applyProtection="1"/>
    <xf numFmtId="0" fontId="3" fillId="6" borderId="4" xfId="0" applyFont="1" applyFill="1" applyBorder="1" applyProtection="1"/>
    <xf numFmtId="165" fontId="6" fillId="6" borderId="0" xfId="0" applyNumberFormat="1" applyFont="1" applyFill="1" applyBorder="1" applyAlignment="1" applyProtection="1">
      <alignment horizontal="center"/>
    </xf>
    <xf numFmtId="1" fontId="6" fillId="6" borderId="0" xfId="0" applyNumberFormat="1" applyFont="1" applyFill="1" applyBorder="1" applyAlignment="1" applyProtection="1">
      <alignment horizontal="center"/>
    </xf>
    <xf numFmtId="0" fontId="3" fillId="6" borderId="12" xfId="0" applyFont="1" applyFill="1" applyBorder="1" applyAlignment="1" applyProtection="1">
      <alignment horizontal="right"/>
    </xf>
    <xf numFmtId="1" fontId="6" fillId="6" borderId="13" xfId="0" applyNumberFormat="1" applyFont="1" applyFill="1" applyBorder="1" applyAlignment="1" applyProtection="1">
      <alignment horizontal="center"/>
    </xf>
    <xf numFmtId="0" fontId="3" fillId="6" borderId="13" xfId="0" applyFont="1" applyFill="1" applyBorder="1" applyProtection="1"/>
    <xf numFmtId="0" fontId="3" fillId="6" borderId="14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17" fillId="0" borderId="0" xfId="0" applyFont="1" applyBorder="1" applyProtection="1"/>
    <xf numFmtId="1" fontId="6" fillId="0" borderId="0" xfId="0" applyNumberFormat="1" applyFont="1" applyFill="1" applyBorder="1" applyAlignment="1" applyProtection="1">
      <alignment horizontal="center"/>
    </xf>
    <xf numFmtId="0" fontId="17" fillId="0" borderId="0" xfId="0" applyFont="1" applyFill="1" applyBorder="1" applyProtection="1"/>
    <xf numFmtId="164" fontId="3" fillId="0" borderId="0" xfId="0" applyNumberFormat="1" applyFont="1" applyFill="1" applyBorder="1" applyProtection="1"/>
    <xf numFmtId="164" fontId="3" fillId="0" borderId="1" xfId="0" applyNumberFormat="1" applyFont="1" applyFill="1" applyBorder="1" applyProtection="1"/>
    <xf numFmtId="0" fontId="6" fillId="0" borderId="3" xfId="0" applyFont="1" applyFill="1" applyBorder="1" applyAlignment="1" applyProtection="1">
      <alignment horizontal="right"/>
    </xf>
    <xf numFmtId="0" fontId="3" fillId="0" borderId="6" xfId="0" applyFont="1" applyFill="1" applyBorder="1" applyProtection="1"/>
    <xf numFmtId="164" fontId="3" fillId="0" borderId="7" xfId="0" applyNumberFormat="1" applyFont="1" applyFill="1" applyBorder="1" applyProtection="1"/>
    <xf numFmtId="0" fontId="6" fillId="0" borderId="0" xfId="0" applyFont="1" applyFill="1" applyBorder="1" applyAlignment="1" applyProtection="1">
      <alignment horizontal="right"/>
    </xf>
    <xf numFmtId="164" fontId="6" fillId="0" borderId="0" xfId="0" applyNumberFormat="1" applyFont="1" applyFill="1" applyBorder="1" applyAlignment="1" applyProtection="1">
      <alignment horizontal="center"/>
    </xf>
    <xf numFmtId="0" fontId="3" fillId="0" borderId="1" xfId="0" applyFont="1" applyBorder="1" applyProtection="1"/>
    <xf numFmtId="3" fontId="3" fillId="0" borderId="1" xfId="0" applyNumberFormat="1" applyFont="1" applyBorder="1" applyProtection="1"/>
    <xf numFmtId="0" fontId="10" fillId="2" borderId="3" xfId="0" applyFont="1" applyFill="1" applyBorder="1" applyProtection="1"/>
    <xf numFmtId="0" fontId="10" fillId="2" borderId="6" xfId="0" applyFont="1" applyFill="1" applyBorder="1" applyProtection="1"/>
    <xf numFmtId="0" fontId="3" fillId="0" borderId="6" xfId="0" applyFont="1" applyBorder="1" applyProtection="1"/>
    <xf numFmtId="164" fontId="3" fillId="0" borderId="7" xfId="0" applyNumberFormat="1" applyFont="1" applyFill="1" applyBorder="1" applyAlignment="1" applyProtection="1">
      <alignment horizontal="center"/>
    </xf>
    <xf numFmtId="0" fontId="10" fillId="2" borderId="9" xfId="0" applyFont="1" applyFill="1" applyBorder="1" applyProtection="1"/>
    <xf numFmtId="0" fontId="12" fillId="2" borderId="10" xfId="0" applyFont="1" applyFill="1" applyBorder="1" applyProtection="1"/>
    <xf numFmtId="0" fontId="7" fillId="0" borderId="3" xfId="0" applyFont="1" applyBorder="1" applyProtection="1"/>
    <xf numFmtId="0" fontId="7" fillId="0" borderId="6" xfId="0" applyFont="1" applyBorder="1" applyProtection="1"/>
    <xf numFmtId="164" fontId="6" fillId="4" borderId="7" xfId="0" applyNumberFormat="1" applyFont="1" applyFill="1" applyBorder="1" applyAlignment="1" applyProtection="1">
      <alignment horizontal="center"/>
    </xf>
    <xf numFmtId="0" fontId="12" fillId="0" borderId="0" xfId="0" applyFont="1" applyFill="1" applyBorder="1" applyProtection="1"/>
    <xf numFmtId="0" fontId="7" fillId="0" borderId="0" xfId="0" applyFont="1" applyFill="1" applyBorder="1" applyProtection="1"/>
    <xf numFmtId="0" fontId="11" fillId="0" borderId="0" xfId="0" applyFont="1" applyBorder="1" applyProtection="1"/>
    <xf numFmtId="166" fontId="6" fillId="0" borderId="0" xfId="0" applyNumberFormat="1" applyFont="1" applyBorder="1" applyAlignment="1" applyProtection="1">
      <alignment horizontal="center"/>
    </xf>
    <xf numFmtId="0" fontId="7" fillId="0" borderId="0" xfId="0" applyFont="1" applyBorder="1" applyProtection="1"/>
    <xf numFmtId="164" fontId="3" fillId="7" borderId="1" xfId="0" applyNumberFormat="1" applyFont="1" applyFill="1" applyBorder="1" applyProtection="1">
      <protection locked="0"/>
    </xf>
    <xf numFmtId="0" fontId="3" fillId="7" borderId="1" xfId="0" applyFont="1" applyFill="1" applyBorder="1" applyProtection="1">
      <protection locked="0"/>
    </xf>
    <xf numFmtId="0" fontId="3" fillId="7" borderId="0" xfId="0" applyFont="1" applyFill="1" applyBorder="1" applyProtection="1">
      <protection locked="0"/>
    </xf>
    <xf numFmtId="1" fontId="3" fillId="7" borderId="1" xfId="0" applyNumberFormat="1" applyFont="1" applyFill="1" applyBorder="1" applyProtection="1">
      <protection locked="0"/>
    </xf>
    <xf numFmtId="10" fontId="3" fillId="7" borderId="1" xfId="0" applyNumberFormat="1" applyFont="1" applyFill="1" applyBorder="1" applyProtection="1">
      <protection locked="0"/>
    </xf>
    <xf numFmtId="0" fontId="3" fillId="7" borderId="2" xfId="0" applyFont="1" applyFill="1" applyBorder="1" applyProtection="1">
      <protection locked="0"/>
    </xf>
    <xf numFmtId="0" fontId="14" fillId="7" borderId="1" xfId="0" applyFont="1" applyFill="1" applyBorder="1" applyProtection="1">
      <protection locked="0"/>
    </xf>
    <xf numFmtId="0" fontId="3" fillId="7" borderId="7" xfId="0" applyFont="1" applyFill="1" applyBorder="1" applyProtection="1">
      <protection locked="0"/>
    </xf>
    <xf numFmtId="3" fontId="6" fillId="7" borderId="7" xfId="0" applyNumberFormat="1" applyFont="1" applyFill="1" applyBorder="1" applyProtection="1">
      <protection locked="0"/>
    </xf>
    <xf numFmtId="8" fontId="6" fillId="7" borderId="8" xfId="0" applyNumberFormat="1" applyFont="1" applyFill="1" applyBorder="1" applyAlignment="1" applyProtection="1">
      <alignment horizontal="center"/>
      <protection locked="0"/>
    </xf>
    <xf numFmtId="164" fontId="6" fillId="7" borderId="8" xfId="0" applyNumberFormat="1" applyFont="1" applyFill="1" applyBorder="1" applyAlignment="1" applyProtection="1">
      <alignment horizontal="center"/>
      <protection locked="0"/>
    </xf>
    <xf numFmtId="0" fontId="6" fillId="7" borderId="10" xfId="0" applyFont="1" applyFill="1" applyBorder="1" applyAlignment="1" applyProtection="1">
      <alignment horizontal="center"/>
      <protection locked="0"/>
    </xf>
    <xf numFmtId="0" fontId="6" fillId="7" borderId="0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tabSelected="1" workbookViewId="0"/>
  </sheetViews>
  <sheetFormatPr defaultColWidth="9.109375" defaultRowHeight="13.8" x14ac:dyDescent="0.3"/>
  <cols>
    <col min="1" max="1" width="36.88671875" style="1" customWidth="1"/>
    <col min="2" max="2" width="10.6640625" style="1" customWidth="1"/>
    <col min="3" max="3" width="9.5546875" style="1" customWidth="1"/>
    <col min="4" max="4" width="8.33203125" style="1" customWidth="1"/>
    <col min="5" max="5" width="11.109375" style="1" customWidth="1"/>
    <col min="6" max="6" width="4" style="1" customWidth="1"/>
    <col min="7" max="7" width="11.44140625" style="1" customWidth="1"/>
    <col min="8" max="8" width="13.44140625" style="1" customWidth="1"/>
    <col min="9" max="9" width="13.44140625" style="1" bestFit="1" customWidth="1"/>
    <col min="10" max="11" width="11.109375" style="1" customWidth="1"/>
    <col min="12" max="16384" width="9.109375" style="1"/>
  </cols>
  <sheetData>
    <row r="1" spans="1:12" ht="15.6" x14ac:dyDescent="0.3">
      <c r="A1" s="4" t="s">
        <v>101</v>
      </c>
      <c r="B1" s="5"/>
      <c r="C1" s="5"/>
      <c r="D1" s="5"/>
    </row>
    <row r="2" spans="1:12" ht="15.6" x14ac:dyDescent="0.3">
      <c r="A2" s="32" t="s">
        <v>0</v>
      </c>
      <c r="B2" s="5"/>
      <c r="C2" s="5"/>
      <c r="D2" s="5"/>
    </row>
    <row r="3" spans="1:12" ht="15.6" x14ac:dyDescent="0.3">
      <c r="A3" s="4" t="s">
        <v>1</v>
      </c>
      <c r="B3" s="6"/>
      <c r="D3" s="5"/>
    </row>
    <row r="4" spans="1:12" ht="15.6" x14ac:dyDescent="0.3">
      <c r="A4" s="11" t="s">
        <v>2</v>
      </c>
      <c r="B4" s="12"/>
      <c r="C4" s="12"/>
      <c r="D4" s="12"/>
      <c r="E4" s="13"/>
      <c r="G4" s="19"/>
      <c r="I4" s="21" t="s">
        <v>3</v>
      </c>
      <c r="J4" s="22"/>
      <c r="K4" s="22"/>
    </row>
    <row r="5" spans="1:12" s="7" customFormat="1" x14ac:dyDescent="0.3">
      <c r="A5" s="28" t="s">
        <v>4</v>
      </c>
      <c r="B5" s="28" t="s">
        <v>5</v>
      </c>
      <c r="C5" s="28" t="s">
        <v>6</v>
      </c>
      <c r="D5" s="28" t="s">
        <v>44</v>
      </c>
      <c r="E5" s="29" t="s">
        <v>7</v>
      </c>
      <c r="F5" s="8"/>
      <c r="G5" s="19"/>
      <c r="H5" s="19"/>
      <c r="I5" s="14"/>
      <c r="J5" s="17" t="s">
        <v>87</v>
      </c>
      <c r="K5" s="18"/>
    </row>
    <row r="6" spans="1:12" x14ac:dyDescent="0.3">
      <c r="A6" s="71" t="s">
        <v>8</v>
      </c>
      <c r="B6" s="71" t="s">
        <v>9</v>
      </c>
      <c r="C6" s="72">
        <v>0.45</v>
      </c>
      <c r="D6" s="71">
        <v>180</v>
      </c>
      <c r="E6" s="16">
        <f t="shared" ref="E6:E14" si="0">(C6*D6)</f>
        <v>81</v>
      </c>
      <c r="F6" s="9"/>
      <c r="G6" s="20"/>
      <c r="H6" s="20"/>
      <c r="I6" s="38" t="s">
        <v>10</v>
      </c>
      <c r="J6" s="39" t="s">
        <v>11</v>
      </c>
      <c r="K6" s="38" t="s">
        <v>12</v>
      </c>
      <c r="L6" s="19"/>
    </row>
    <row r="7" spans="1:12" x14ac:dyDescent="0.3">
      <c r="A7" s="71" t="s">
        <v>13</v>
      </c>
      <c r="B7" s="71" t="s">
        <v>9</v>
      </c>
      <c r="C7" s="72">
        <v>0.56000000000000005</v>
      </c>
      <c r="D7" s="71">
        <v>100</v>
      </c>
      <c r="E7" s="16">
        <f t="shared" si="0"/>
        <v>56.000000000000007</v>
      </c>
      <c r="F7" s="9"/>
      <c r="G7" s="46" t="s">
        <v>86</v>
      </c>
      <c r="H7" s="47"/>
      <c r="I7" s="79">
        <v>12</v>
      </c>
      <c r="J7" s="80">
        <v>10</v>
      </c>
      <c r="K7" s="79">
        <v>8</v>
      </c>
      <c r="L7" s="19"/>
    </row>
    <row r="8" spans="1:12" x14ac:dyDescent="0.3">
      <c r="A8" s="71" t="s">
        <v>14</v>
      </c>
      <c r="B8" s="71" t="s">
        <v>9</v>
      </c>
      <c r="C8" s="72">
        <v>0.33</v>
      </c>
      <c r="D8" s="71">
        <v>100</v>
      </c>
      <c r="E8" s="16">
        <f t="shared" si="0"/>
        <v>33</v>
      </c>
      <c r="F8" s="9"/>
      <c r="G8" s="41" t="s">
        <v>15</v>
      </c>
      <c r="H8" s="78">
        <v>1400</v>
      </c>
      <c r="I8" s="16">
        <f t="shared" ref="I8:K10" si="1">(I$7*$H8)-$E$33-$E$47-$E51</f>
        <v>8406.2241250000006</v>
      </c>
      <c r="J8" s="16">
        <f t="shared" si="1"/>
        <v>5606.2241250000006</v>
      </c>
      <c r="K8" s="16">
        <f t="shared" si="1"/>
        <v>2806.2241250000006</v>
      </c>
      <c r="L8" s="19"/>
    </row>
    <row r="9" spans="1:12" x14ac:dyDescent="0.3">
      <c r="A9" s="71" t="s">
        <v>16</v>
      </c>
      <c r="B9" s="71" t="s">
        <v>17</v>
      </c>
      <c r="C9" s="72">
        <v>42</v>
      </c>
      <c r="D9" s="71">
        <v>1</v>
      </c>
      <c r="E9" s="16">
        <f>(C9*D9)/3</f>
        <v>14</v>
      </c>
      <c r="F9" s="9"/>
      <c r="G9" s="41" t="s">
        <v>18</v>
      </c>
      <c r="H9" s="78">
        <v>1100</v>
      </c>
      <c r="I9" s="16">
        <f t="shared" si="1"/>
        <v>5916.2241250000006</v>
      </c>
      <c r="J9" s="16">
        <f t="shared" si="1"/>
        <v>3716.2241250000006</v>
      </c>
      <c r="K9" s="16">
        <f t="shared" si="1"/>
        <v>1516.2241250000006</v>
      </c>
      <c r="L9" s="19"/>
    </row>
    <row r="10" spans="1:12" x14ac:dyDescent="0.3">
      <c r="A10" s="71" t="s">
        <v>19</v>
      </c>
      <c r="B10" s="71" t="s">
        <v>9</v>
      </c>
      <c r="C10" s="72">
        <v>4.5</v>
      </c>
      <c r="D10" s="71">
        <v>1.5</v>
      </c>
      <c r="E10" s="16">
        <f t="shared" si="0"/>
        <v>6.75</v>
      </c>
      <c r="F10" s="9"/>
      <c r="G10" s="41" t="s">
        <v>20</v>
      </c>
      <c r="H10" s="78">
        <v>800</v>
      </c>
      <c r="I10" s="16">
        <f t="shared" si="1"/>
        <v>3426.2241250000006</v>
      </c>
      <c r="J10" s="16">
        <f t="shared" si="1"/>
        <v>1826.2241250000006</v>
      </c>
      <c r="K10" s="16">
        <f t="shared" si="1"/>
        <v>226.22412500000019</v>
      </c>
      <c r="L10" s="19"/>
    </row>
    <row r="11" spans="1:12" x14ac:dyDescent="0.3">
      <c r="A11" s="71" t="s">
        <v>62</v>
      </c>
      <c r="B11" s="71" t="s">
        <v>9</v>
      </c>
      <c r="C11" s="72">
        <v>0.4</v>
      </c>
      <c r="D11" s="71">
        <v>20</v>
      </c>
      <c r="E11" s="16">
        <f t="shared" si="0"/>
        <v>8</v>
      </c>
      <c r="F11" s="9"/>
      <c r="G11" s="20"/>
      <c r="H11" s="48"/>
      <c r="I11" s="9"/>
      <c r="J11" s="9"/>
      <c r="K11" s="9"/>
      <c r="L11" s="19"/>
    </row>
    <row r="12" spans="1:12" ht="15" x14ac:dyDescent="0.3">
      <c r="A12" s="71" t="s">
        <v>21</v>
      </c>
      <c r="B12" s="71" t="s">
        <v>22</v>
      </c>
      <c r="C12" s="72">
        <v>74.709999999999994</v>
      </c>
      <c r="D12" s="71">
        <v>4</v>
      </c>
      <c r="E12" s="16">
        <f t="shared" si="0"/>
        <v>298.83999999999997</v>
      </c>
      <c r="F12" s="9"/>
      <c r="G12" s="20" t="s">
        <v>92</v>
      </c>
      <c r="H12" s="19"/>
      <c r="I12" s="19"/>
      <c r="J12" s="19"/>
      <c r="K12" s="19"/>
      <c r="L12" s="19"/>
    </row>
    <row r="13" spans="1:12" x14ac:dyDescent="0.3">
      <c r="A13" s="71" t="s">
        <v>23</v>
      </c>
      <c r="B13" s="71" t="s">
        <v>24</v>
      </c>
      <c r="C13" s="72">
        <v>6.5799999999999997E-2</v>
      </c>
      <c r="D13" s="71">
        <v>7260</v>
      </c>
      <c r="E13" s="16">
        <f t="shared" si="0"/>
        <v>477.70799999999997</v>
      </c>
      <c r="F13" s="9"/>
      <c r="G13" s="19"/>
      <c r="H13" s="19"/>
      <c r="I13" s="19"/>
      <c r="J13" s="19"/>
      <c r="K13" s="19"/>
      <c r="L13" s="19"/>
    </row>
    <row r="14" spans="1:12" x14ac:dyDescent="0.3">
      <c r="A14" s="71" t="s">
        <v>26</v>
      </c>
      <c r="B14" s="71" t="s">
        <v>27</v>
      </c>
      <c r="C14" s="72">
        <v>9.5</v>
      </c>
      <c r="D14" s="71">
        <v>56</v>
      </c>
      <c r="E14" s="16">
        <f t="shared" si="0"/>
        <v>532</v>
      </c>
      <c r="F14" s="9"/>
      <c r="G14" s="40"/>
      <c r="H14" s="42"/>
      <c r="I14" s="19"/>
      <c r="J14" s="19"/>
      <c r="K14" s="19"/>
      <c r="L14" s="19"/>
    </row>
    <row r="15" spans="1:12" x14ac:dyDescent="0.3">
      <c r="A15" s="73" t="s">
        <v>89</v>
      </c>
      <c r="B15" s="71" t="s">
        <v>88</v>
      </c>
      <c r="C15" s="72">
        <v>51</v>
      </c>
      <c r="D15" s="71">
        <v>24</v>
      </c>
      <c r="E15" s="16">
        <f>(C15*D15)/3</f>
        <v>408</v>
      </c>
      <c r="F15" s="9"/>
      <c r="G15" s="11" t="s">
        <v>25</v>
      </c>
      <c r="H15" s="14"/>
      <c r="I15" s="13"/>
      <c r="J15" s="13"/>
      <c r="K15" s="13"/>
      <c r="L15" s="19"/>
    </row>
    <row r="16" spans="1:12" x14ac:dyDescent="0.3">
      <c r="A16" s="73" t="s">
        <v>63</v>
      </c>
      <c r="B16" s="71" t="s">
        <v>64</v>
      </c>
      <c r="C16" s="72">
        <v>7</v>
      </c>
      <c r="D16" s="71">
        <v>8</v>
      </c>
      <c r="E16" s="16">
        <f>C16*D16</f>
        <v>56</v>
      </c>
      <c r="F16" s="9"/>
      <c r="G16" s="11" t="s">
        <v>28</v>
      </c>
      <c r="H16" s="14"/>
      <c r="I16" s="13"/>
      <c r="J16" s="13"/>
      <c r="K16" s="13"/>
      <c r="L16" s="19"/>
    </row>
    <row r="17" spans="1:12" ht="15" x14ac:dyDescent="0.3">
      <c r="A17" s="73" t="s">
        <v>68</v>
      </c>
      <c r="B17" s="71" t="s">
        <v>59</v>
      </c>
      <c r="C17" s="72">
        <v>11.5</v>
      </c>
      <c r="D17" s="71">
        <v>1.5</v>
      </c>
      <c r="E17" s="16">
        <f t="shared" ref="E17:E23" si="2">C17*D17</f>
        <v>17.25</v>
      </c>
      <c r="F17" s="9"/>
      <c r="G17" s="55" t="s">
        <v>29</v>
      </c>
      <c r="H17" s="56">
        <v>6</v>
      </c>
      <c r="I17" s="57" t="s">
        <v>30</v>
      </c>
      <c r="J17" s="57"/>
      <c r="K17" s="58"/>
      <c r="L17" s="19"/>
    </row>
    <row r="18" spans="1:12" ht="15" x14ac:dyDescent="0.3">
      <c r="A18" s="74" t="s">
        <v>69</v>
      </c>
      <c r="B18" s="75" t="s">
        <v>9</v>
      </c>
      <c r="C18" s="72">
        <v>10.95</v>
      </c>
      <c r="D18" s="71">
        <v>0.16</v>
      </c>
      <c r="E18" s="16">
        <f t="shared" si="2"/>
        <v>1.752</v>
      </c>
      <c r="F18" s="9"/>
      <c r="G18" s="67" t="s">
        <v>31</v>
      </c>
      <c r="H18" s="59">
        <v>2</v>
      </c>
      <c r="I18" s="60" t="s">
        <v>32</v>
      </c>
      <c r="J18" s="60"/>
      <c r="K18" s="61"/>
      <c r="L18" s="19"/>
    </row>
    <row r="19" spans="1:12" ht="15" x14ac:dyDescent="0.3">
      <c r="A19" s="71" t="s">
        <v>80</v>
      </c>
      <c r="B19" s="71" t="s">
        <v>65</v>
      </c>
      <c r="C19" s="71">
        <v>2.25</v>
      </c>
      <c r="D19" s="71">
        <v>1.2</v>
      </c>
      <c r="E19" s="16">
        <f t="shared" si="2"/>
        <v>2.6999999999999997</v>
      </c>
      <c r="F19" s="9"/>
      <c r="G19" s="67" t="s">
        <v>31</v>
      </c>
      <c r="H19" s="62">
        <f>1-(((43560/H17)*3)/43560)</f>
        <v>0.5</v>
      </c>
      <c r="I19" s="60" t="s">
        <v>98</v>
      </c>
      <c r="J19" s="60"/>
      <c r="K19" s="61"/>
      <c r="L19" s="19"/>
    </row>
    <row r="20" spans="1:12" ht="15.6" x14ac:dyDescent="0.35">
      <c r="A20" s="71" t="s">
        <v>81</v>
      </c>
      <c r="B20" s="71" t="s">
        <v>65</v>
      </c>
      <c r="C20" s="71">
        <v>4.38</v>
      </c>
      <c r="D20" s="71">
        <v>1</v>
      </c>
      <c r="E20" s="16">
        <f t="shared" si="2"/>
        <v>4.38</v>
      </c>
      <c r="F20" s="9"/>
      <c r="G20" s="67" t="s">
        <v>31</v>
      </c>
      <c r="H20" s="63">
        <f>43560/H17</f>
        <v>7260</v>
      </c>
      <c r="I20" s="60" t="s">
        <v>33</v>
      </c>
      <c r="J20" s="60"/>
      <c r="K20" s="61"/>
      <c r="L20" s="19"/>
    </row>
    <row r="21" spans="1:12" x14ac:dyDescent="0.3">
      <c r="A21" s="71" t="s">
        <v>70</v>
      </c>
      <c r="B21" s="71" t="s">
        <v>71</v>
      </c>
      <c r="C21" s="72">
        <v>0.54</v>
      </c>
      <c r="D21" s="71">
        <f>3*5</f>
        <v>15</v>
      </c>
      <c r="E21" s="16">
        <f t="shared" si="2"/>
        <v>8.1000000000000014</v>
      </c>
      <c r="F21" s="9"/>
      <c r="G21" s="68" t="s">
        <v>31</v>
      </c>
      <c r="H21" s="64">
        <f>H20/H18</f>
        <v>3630</v>
      </c>
      <c r="I21" s="65" t="s">
        <v>34</v>
      </c>
      <c r="J21" s="65"/>
      <c r="K21" s="66"/>
      <c r="L21" s="19"/>
    </row>
    <row r="22" spans="1:12" x14ac:dyDescent="0.3">
      <c r="A22" s="71" t="s">
        <v>77</v>
      </c>
      <c r="B22" s="71" t="s">
        <v>71</v>
      </c>
      <c r="C22" s="72">
        <v>4.3099999999999996</v>
      </c>
      <c r="D22" s="71">
        <f>1*4</f>
        <v>4</v>
      </c>
      <c r="E22" s="16">
        <f t="shared" si="2"/>
        <v>17.239999999999998</v>
      </c>
      <c r="F22" s="9"/>
      <c r="G22" s="19"/>
      <c r="H22" s="19"/>
      <c r="I22" s="36"/>
      <c r="J22" s="19"/>
      <c r="K22" s="19"/>
      <c r="L22" s="19"/>
    </row>
    <row r="23" spans="1:12" x14ac:dyDescent="0.3">
      <c r="A23" s="19" t="s">
        <v>72</v>
      </c>
      <c r="B23" s="71" t="s">
        <v>71</v>
      </c>
      <c r="C23" s="71">
        <v>5.74</v>
      </c>
      <c r="D23" s="71">
        <f>1*7.5</f>
        <v>7.5</v>
      </c>
      <c r="E23" s="16">
        <f t="shared" si="2"/>
        <v>43.050000000000004</v>
      </c>
      <c r="G23" s="69"/>
      <c r="I23" s="19"/>
      <c r="J23" s="19"/>
      <c r="K23" s="19"/>
      <c r="L23" s="19"/>
    </row>
    <row r="24" spans="1:12" x14ac:dyDescent="0.3">
      <c r="A24" s="71" t="s">
        <v>85</v>
      </c>
      <c r="B24" s="71" t="s">
        <v>9</v>
      </c>
      <c r="C24" s="72">
        <v>3.2</v>
      </c>
      <c r="D24" s="71">
        <f>3*1.5</f>
        <v>4.5</v>
      </c>
      <c r="E24" s="16">
        <f t="shared" ref="E24:E27" si="3">C24*D24</f>
        <v>14.4</v>
      </c>
      <c r="F24" s="9"/>
      <c r="G24" s="19"/>
      <c r="H24" s="37"/>
      <c r="I24" s="19"/>
      <c r="J24" s="19"/>
      <c r="K24" s="19"/>
      <c r="L24" s="19"/>
    </row>
    <row r="25" spans="1:12" x14ac:dyDescent="0.3">
      <c r="A25" s="71" t="s">
        <v>73</v>
      </c>
      <c r="B25" s="71" t="s">
        <v>9</v>
      </c>
      <c r="C25" s="72">
        <v>6</v>
      </c>
      <c r="D25" s="71">
        <f>3*1.25</f>
        <v>3.75</v>
      </c>
      <c r="E25" s="16">
        <f t="shared" si="3"/>
        <v>22.5</v>
      </c>
      <c r="F25" s="9"/>
      <c r="G25" s="19"/>
      <c r="H25" s="37"/>
      <c r="I25" s="19"/>
      <c r="J25" s="19"/>
      <c r="K25" s="19"/>
      <c r="L25" s="19"/>
    </row>
    <row r="26" spans="1:12" x14ac:dyDescent="0.3">
      <c r="A26" s="71" t="s">
        <v>74</v>
      </c>
      <c r="B26" s="71" t="s">
        <v>71</v>
      </c>
      <c r="C26" s="72">
        <v>3.2</v>
      </c>
      <c r="D26" s="71">
        <f>2*6</f>
        <v>12</v>
      </c>
      <c r="E26" s="16">
        <f t="shared" si="3"/>
        <v>38.400000000000006</v>
      </c>
      <c r="F26" s="9"/>
      <c r="G26" s="70"/>
      <c r="H26" s="37"/>
      <c r="I26" s="19"/>
      <c r="J26" s="19"/>
      <c r="K26" s="19"/>
      <c r="L26" s="19"/>
    </row>
    <row r="27" spans="1:12" x14ac:dyDescent="0.3">
      <c r="A27" s="71" t="s">
        <v>75</v>
      </c>
      <c r="B27" s="71" t="s">
        <v>79</v>
      </c>
      <c r="C27" s="72">
        <v>5.13</v>
      </c>
      <c r="D27" s="71">
        <f>8*2.5</f>
        <v>20</v>
      </c>
      <c r="E27" s="16">
        <f t="shared" si="3"/>
        <v>102.6</v>
      </c>
      <c r="F27" s="9"/>
      <c r="G27" s="19"/>
      <c r="H27" s="37"/>
      <c r="I27" s="19"/>
      <c r="J27" s="19"/>
      <c r="K27" s="19"/>
      <c r="L27" s="19"/>
    </row>
    <row r="28" spans="1:12" x14ac:dyDescent="0.3">
      <c r="A28" s="73" t="s">
        <v>82</v>
      </c>
      <c r="B28" s="71" t="s">
        <v>35</v>
      </c>
      <c r="C28" s="72">
        <v>10</v>
      </c>
      <c r="D28" s="71">
        <v>8</v>
      </c>
      <c r="E28" s="16">
        <f t="shared" ref="E28:E29" si="4">C28*D28</f>
        <v>80</v>
      </c>
      <c r="F28" s="9"/>
      <c r="G28" s="19"/>
      <c r="H28" s="37"/>
      <c r="I28" s="19"/>
      <c r="J28" s="19"/>
      <c r="K28" s="19"/>
      <c r="L28" s="19"/>
    </row>
    <row r="29" spans="1:12" x14ac:dyDescent="0.3">
      <c r="A29" s="71" t="s">
        <v>83</v>
      </c>
      <c r="B29" s="71" t="s">
        <v>35</v>
      </c>
      <c r="C29" s="72">
        <v>10</v>
      </c>
      <c r="D29" s="19">
        <v>16</v>
      </c>
      <c r="E29" s="16">
        <f t="shared" si="4"/>
        <v>160</v>
      </c>
      <c r="F29" s="9"/>
      <c r="G29" s="70"/>
      <c r="H29" s="19"/>
      <c r="I29" s="19"/>
      <c r="J29" s="19"/>
      <c r="K29" s="19"/>
      <c r="L29" s="19"/>
    </row>
    <row r="30" spans="1:12" x14ac:dyDescent="0.3">
      <c r="A30" s="71" t="s">
        <v>84</v>
      </c>
      <c r="B30" s="71" t="s">
        <v>37</v>
      </c>
      <c r="C30" s="72">
        <v>10</v>
      </c>
      <c r="D30" s="71">
        <v>10</v>
      </c>
      <c r="E30" s="16">
        <f>C30*D30</f>
        <v>100</v>
      </c>
      <c r="F30" s="35"/>
      <c r="G30" s="19"/>
      <c r="H30" s="19"/>
      <c r="I30" s="19"/>
      <c r="J30" s="19"/>
      <c r="K30" s="19"/>
      <c r="L30" s="19"/>
    </row>
    <row r="31" spans="1:12" x14ac:dyDescent="0.3">
      <c r="A31" s="71" t="s">
        <v>40</v>
      </c>
      <c r="B31" s="71" t="s">
        <v>37</v>
      </c>
      <c r="C31" s="72">
        <v>20</v>
      </c>
      <c r="D31" s="71">
        <v>1</v>
      </c>
      <c r="E31" s="16">
        <f>C31*D31</f>
        <v>20</v>
      </c>
      <c r="F31" s="35"/>
      <c r="G31" s="19"/>
      <c r="H31" s="19"/>
      <c r="I31" s="19"/>
      <c r="J31" s="19"/>
      <c r="K31" s="19"/>
      <c r="L31" s="19"/>
    </row>
    <row r="32" spans="1:12" ht="15" x14ac:dyDescent="0.3">
      <c r="A32" s="71" t="s">
        <v>41</v>
      </c>
      <c r="B32" s="72">
        <f>SUM(E6:E31)</f>
        <v>2603.67</v>
      </c>
      <c r="C32" s="76">
        <v>6</v>
      </c>
      <c r="D32" s="77">
        <v>2.5000000000000001E-2</v>
      </c>
      <c r="E32" s="16">
        <f>B32*(C32/12)*D32</f>
        <v>32.545875000000002</v>
      </c>
      <c r="F32" s="19"/>
      <c r="G32" s="19"/>
      <c r="H32" s="19"/>
    </row>
    <row r="33" spans="1:12" x14ac:dyDescent="0.3">
      <c r="A33" s="43" t="s">
        <v>42</v>
      </c>
      <c r="B33" s="44"/>
      <c r="C33" s="44"/>
      <c r="D33" s="44"/>
      <c r="E33" s="45">
        <f>SUM(E6:E32)</f>
        <v>2636.2158749999999</v>
      </c>
      <c r="F33" s="8"/>
    </row>
    <row r="34" spans="1:12" x14ac:dyDescent="0.3">
      <c r="A34" s="34"/>
      <c r="B34" s="19"/>
      <c r="C34" s="19"/>
      <c r="D34" s="19"/>
      <c r="E34" s="35"/>
      <c r="F34" s="9"/>
    </row>
    <row r="35" spans="1:12" x14ac:dyDescent="0.3">
      <c r="A35" s="11" t="s">
        <v>43</v>
      </c>
      <c r="B35" s="14"/>
      <c r="C35" s="14"/>
      <c r="D35" s="14"/>
      <c r="E35" s="14"/>
      <c r="F35" s="9"/>
    </row>
    <row r="36" spans="1:12" x14ac:dyDescent="0.3">
      <c r="A36" s="28" t="s">
        <v>4</v>
      </c>
      <c r="B36" s="28" t="s">
        <v>5</v>
      </c>
      <c r="C36" s="28" t="s">
        <v>6</v>
      </c>
      <c r="D36" s="28" t="s">
        <v>44</v>
      </c>
      <c r="E36" s="29" t="s">
        <v>7</v>
      </c>
      <c r="F36" s="9"/>
      <c r="I36" s="19"/>
      <c r="J36" s="19"/>
      <c r="K36" s="19"/>
      <c r="L36" s="19"/>
    </row>
    <row r="37" spans="1:12" x14ac:dyDescent="0.3">
      <c r="A37" s="71" t="s">
        <v>45</v>
      </c>
      <c r="B37" s="71" t="s">
        <v>46</v>
      </c>
      <c r="C37" s="72">
        <v>8.4</v>
      </c>
      <c r="D37" s="71">
        <v>1</v>
      </c>
      <c r="E37" s="16">
        <f>C37*D37</f>
        <v>8.4</v>
      </c>
      <c r="F37" s="9"/>
      <c r="H37" s="19"/>
      <c r="I37" s="10"/>
      <c r="J37" s="10"/>
      <c r="K37" s="10"/>
    </row>
    <row r="38" spans="1:12" x14ac:dyDescent="0.3">
      <c r="A38" s="71" t="s">
        <v>47</v>
      </c>
      <c r="B38" s="71" t="s">
        <v>46</v>
      </c>
      <c r="C38" s="72">
        <v>9.2899999999999991</v>
      </c>
      <c r="D38" s="71">
        <v>9</v>
      </c>
      <c r="E38" s="16">
        <f t="shared" ref="E38:E46" si="5">C38*D38</f>
        <v>83.609999999999985</v>
      </c>
      <c r="F38" s="9"/>
      <c r="G38" s="10"/>
      <c r="H38" s="10"/>
      <c r="I38" s="10"/>
      <c r="J38" s="10"/>
      <c r="K38" s="10"/>
    </row>
    <row r="39" spans="1:12" x14ac:dyDescent="0.3">
      <c r="A39" s="71" t="s">
        <v>76</v>
      </c>
      <c r="B39" s="71" t="s">
        <v>37</v>
      </c>
      <c r="C39" s="72">
        <v>30</v>
      </c>
      <c r="D39" s="71">
        <v>1</v>
      </c>
      <c r="E39" s="16">
        <f>C39*D39</f>
        <v>30</v>
      </c>
      <c r="F39" s="9"/>
      <c r="G39" s="10"/>
      <c r="H39" s="10"/>
    </row>
    <row r="40" spans="1:12" x14ac:dyDescent="0.3">
      <c r="A40" s="71" t="s">
        <v>48</v>
      </c>
      <c r="B40" s="71" t="s">
        <v>37</v>
      </c>
      <c r="C40" s="72">
        <v>21.7</v>
      </c>
      <c r="D40" s="71">
        <v>1</v>
      </c>
      <c r="E40" s="16">
        <f t="shared" si="5"/>
        <v>21.7</v>
      </c>
      <c r="F40" s="9"/>
      <c r="G40" s="19" t="s">
        <v>39</v>
      </c>
    </row>
    <row r="41" spans="1:12" x14ac:dyDescent="0.3">
      <c r="A41" s="71" t="s">
        <v>78</v>
      </c>
      <c r="B41" s="71" t="s">
        <v>37</v>
      </c>
      <c r="C41" s="72">
        <v>15</v>
      </c>
      <c r="D41" s="71">
        <v>1</v>
      </c>
      <c r="E41" s="16">
        <v>15</v>
      </c>
      <c r="F41" s="9"/>
    </row>
    <row r="42" spans="1:12" x14ac:dyDescent="0.3">
      <c r="A42" s="71" t="s">
        <v>49</v>
      </c>
      <c r="B42" s="71" t="s">
        <v>37</v>
      </c>
      <c r="C42" s="72">
        <v>18.100000000000001</v>
      </c>
      <c r="D42" s="71">
        <v>1</v>
      </c>
      <c r="E42" s="16">
        <f t="shared" si="5"/>
        <v>18.100000000000001</v>
      </c>
      <c r="F42" s="9"/>
    </row>
    <row r="43" spans="1:12" x14ac:dyDescent="0.3">
      <c r="A43" s="71" t="s">
        <v>36</v>
      </c>
      <c r="B43" s="71" t="s">
        <v>37</v>
      </c>
      <c r="C43" s="72">
        <v>135</v>
      </c>
      <c r="D43" s="71">
        <v>1</v>
      </c>
      <c r="E43" s="16">
        <f>C43*D43</f>
        <v>135</v>
      </c>
      <c r="F43" s="9"/>
    </row>
    <row r="44" spans="1:12" x14ac:dyDescent="0.3">
      <c r="A44" s="71" t="s">
        <v>38</v>
      </c>
      <c r="B44" s="71" t="s">
        <v>37</v>
      </c>
      <c r="C44" s="72">
        <v>35</v>
      </c>
      <c r="D44" s="71">
        <v>1</v>
      </c>
      <c r="E44" s="16">
        <f>C44*D44</f>
        <v>35</v>
      </c>
      <c r="F44" s="9"/>
    </row>
    <row r="45" spans="1:12" ht="15" x14ac:dyDescent="0.3">
      <c r="A45" s="71" t="s">
        <v>60</v>
      </c>
      <c r="B45" s="71" t="s">
        <v>99</v>
      </c>
      <c r="C45" s="72">
        <v>181.47</v>
      </c>
      <c r="D45" s="71">
        <v>1</v>
      </c>
      <c r="E45" s="16">
        <f t="shared" si="5"/>
        <v>181.47</v>
      </c>
      <c r="F45" s="9"/>
      <c r="L45" s="10"/>
    </row>
    <row r="46" spans="1:12" ht="15" x14ac:dyDescent="0.3">
      <c r="A46" s="71" t="s">
        <v>61</v>
      </c>
      <c r="B46" s="71" t="s">
        <v>50</v>
      </c>
      <c r="C46" s="72">
        <v>6.16</v>
      </c>
      <c r="D46" s="71">
        <v>8</v>
      </c>
      <c r="E46" s="16">
        <f t="shared" si="5"/>
        <v>49.28</v>
      </c>
      <c r="F46" s="9"/>
      <c r="L46" s="10"/>
    </row>
    <row r="47" spans="1:12" x14ac:dyDescent="0.3">
      <c r="A47" s="43" t="s">
        <v>51</v>
      </c>
      <c r="B47" s="44"/>
      <c r="C47" s="44"/>
      <c r="D47" s="44"/>
      <c r="E47" s="45">
        <f>SUM(E37:E46)</f>
        <v>577.55999999999995</v>
      </c>
      <c r="F47" s="9"/>
      <c r="L47" s="10"/>
    </row>
    <row r="48" spans="1:12" x14ac:dyDescent="0.3">
      <c r="A48" s="34"/>
      <c r="B48" s="19"/>
      <c r="C48" s="19"/>
      <c r="D48" s="19"/>
      <c r="E48" s="35"/>
      <c r="F48" s="9"/>
      <c r="L48" s="10"/>
    </row>
    <row r="49" spans="1:12" x14ac:dyDescent="0.3">
      <c r="A49" s="11" t="s">
        <v>52</v>
      </c>
      <c r="B49" s="14"/>
      <c r="C49" s="14"/>
      <c r="D49" s="14"/>
      <c r="E49" s="14"/>
      <c r="F49" s="3"/>
      <c r="L49" s="10"/>
    </row>
    <row r="50" spans="1:12" x14ac:dyDescent="0.3">
      <c r="A50" s="28" t="s">
        <v>4</v>
      </c>
      <c r="B50" s="28" t="s">
        <v>5</v>
      </c>
      <c r="C50" s="28" t="s">
        <v>6</v>
      </c>
      <c r="D50" s="28" t="s">
        <v>44</v>
      </c>
      <c r="E50" s="29" t="s">
        <v>7</v>
      </c>
      <c r="L50" s="10"/>
    </row>
    <row r="51" spans="1:12" ht="15" x14ac:dyDescent="0.3">
      <c r="A51" s="15" t="s">
        <v>93</v>
      </c>
      <c r="B51" s="15" t="s">
        <v>95</v>
      </c>
      <c r="C51" s="72">
        <f>1.15+1.8+0.75</f>
        <v>3.7</v>
      </c>
      <c r="D51" s="33">
        <f>H8</f>
        <v>1400</v>
      </c>
      <c r="E51" s="16">
        <f>C51*D51</f>
        <v>5180</v>
      </c>
      <c r="L51" s="10"/>
    </row>
    <row r="52" spans="1:12" ht="15" x14ac:dyDescent="0.3">
      <c r="A52" s="15" t="s">
        <v>96</v>
      </c>
      <c r="B52" s="15" t="s">
        <v>95</v>
      </c>
      <c r="C52" s="72">
        <f t="shared" ref="C52:C53" si="6">1.15+1.8+0.75</f>
        <v>3.7</v>
      </c>
      <c r="D52" s="33">
        <f>H9</f>
        <v>1100</v>
      </c>
      <c r="E52" s="16">
        <f>C52*D52</f>
        <v>4070</v>
      </c>
      <c r="G52" s="19"/>
      <c r="H52" s="19"/>
      <c r="L52" s="10"/>
    </row>
    <row r="53" spans="1:12" ht="15" x14ac:dyDescent="0.3">
      <c r="A53" s="15" t="s">
        <v>97</v>
      </c>
      <c r="B53" s="15" t="s">
        <v>95</v>
      </c>
      <c r="C53" s="72">
        <f t="shared" si="6"/>
        <v>3.7</v>
      </c>
      <c r="D53" s="33">
        <f>H10</f>
        <v>800</v>
      </c>
      <c r="E53" s="16">
        <f>C53*D53</f>
        <v>2960</v>
      </c>
      <c r="L53" s="10"/>
    </row>
    <row r="54" spans="1:12" x14ac:dyDescent="0.3">
      <c r="E54" s="9"/>
      <c r="L54" s="10"/>
    </row>
    <row r="55" spans="1:12" x14ac:dyDescent="0.3">
      <c r="A55" s="30" t="s">
        <v>53</v>
      </c>
      <c r="B55" s="31"/>
      <c r="C55" s="23"/>
      <c r="D55" s="23"/>
      <c r="E55" s="24">
        <f>E33+E47+E52</f>
        <v>7283.7758749999994</v>
      </c>
      <c r="L55" s="10"/>
    </row>
    <row r="56" spans="1:12" x14ac:dyDescent="0.3">
      <c r="A56" s="30" t="s">
        <v>54</v>
      </c>
      <c r="B56" s="31"/>
      <c r="C56" s="23"/>
      <c r="D56" s="23"/>
      <c r="E56" s="24">
        <f>(J7*H9)</f>
        <v>11000</v>
      </c>
      <c r="L56" s="10"/>
    </row>
    <row r="57" spans="1:12" s="19" customFormat="1" x14ac:dyDescent="0.3">
      <c r="A57" s="50" t="s">
        <v>55</v>
      </c>
      <c r="B57" s="51"/>
      <c r="C57" s="81"/>
      <c r="D57" s="25"/>
      <c r="E57" s="26">
        <f>SUM(E56-E55)</f>
        <v>3716.2241250000006</v>
      </c>
      <c r="G57" s="1"/>
      <c r="H57" s="1"/>
      <c r="L57" s="54"/>
    </row>
    <row r="58" spans="1:12" x14ac:dyDescent="0.3">
      <c r="A58" s="42"/>
      <c r="B58" s="52"/>
      <c r="C58" s="53"/>
      <c r="D58" s="53"/>
      <c r="E58" s="3"/>
      <c r="F58" s="19"/>
      <c r="G58" s="19"/>
      <c r="H58" s="19"/>
      <c r="L58" s="10"/>
    </row>
    <row r="59" spans="1:12" ht="15" x14ac:dyDescent="0.3">
      <c r="A59" s="27" t="s">
        <v>67</v>
      </c>
      <c r="G59" s="49">
        <f>1-H19</f>
        <v>0.5</v>
      </c>
      <c r="H59" s="1" t="s">
        <v>66</v>
      </c>
      <c r="L59" s="10"/>
    </row>
    <row r="60" spans="1:12" ht="15" x14ac:dyDescent="0.3">
      <c r="A60" s="27"/>
      <c r="G60" s="49"/>
      <c r="L60" s="10"/>
    </row>
    <row r="61" spans="1:12" ht="15" x14ac:dyDescent="0.3">
      <c r="A61" s="27" t="s">
        <v>90</v>
      </c>
      <c r="D61" s="19"/>
      <c r="E61" s="19"/>
    </row>
    <row r="63" spans="1:12" ht="15" x14ac:dyDescent="0.3">
      <c r="A63" s="27" t="s">
        <v>91</v>
      </c>
      <c r="B63" s="2"/>
      <c r="C63" s="2"/>
      <c r="D63" s="2"/>
      <c r="E63" s="3"/>
    </row>
    <row r="64" spans="1:12" x14ac:dyDescent="0.3">
      <c r="A64" s="1" t="s">
        <v>56</v>
      </c>
    </row>
    <row r="66" spans="1:1" ht="15" x14ac:dyDescent="0.3">
      <c r="A66" s="27" t="s">
        <v>94</v>
      </c>
    </row>
  </sheetData>
  <sheetProtection algorithmName="SHA-512" hashValue="Dyk+NxkBsOz0ayJLsikrqq+C9E7U3XiMKoj/ExfyoaSmWu4f0PM6pWt8ZkRYjhmUfPmo2crjbJIJhM5Oxg6F9w==" saltValue="dUX1AkZEjKc5lWqtgfN3xA==" spinCount="100000" sheet="1" objects="1" scenarios="1"/>
  <phoneticPr fontId="1" type="noConversion"/>
  <pageMargins left="0.75" right="0.75" top="1" bottom="1" header="0.5" footer="0.5"/>
  <pageSetup scale="75" orientation="portrait" cellComments="atEnd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opLeftCell="A34" workbookViewId="0">
      <selection activeCell="H26" sqref="H26"/>
    </sheetView>
  </sheetViews>
  <sheetFormatPr defaultColWidth="9.109375" defaultRowHeight="13.8" x14ac:dyDescent="0.3"/>
  <cols>
    <col min="1" max="1" width="36.88671875" style="84" customWidth="1"/>
    <col min="2" max="2" width="10.6640625" style="84" customWidth="1"/>
    <col min="3" max="3" width="9.5546875" style="84" customWidth="1"/>
    <col min="4" max="4" width="8.33203125" style="84" customWidth="1"/>
    <col min="5" max="5" width="11.109375" style="84" customWidth="1"/>
    <col min="6" max="6" width="4" style="84" customWidth="1"/>
    <col min="7" max="7" width="11.44140625" style="84" customWidth="1"/>
    <col min="8" max="8" width="13.44140625" style="84" customWidth="1"/>
    <col min="9" max="9" width="13.44140625" style="84" bestFit="1" customWidth="1"/>
    <col min="10" max="11" width="11.109375" style="84" customWidth="1"/>
    <col min="12" max="16384" width="9.109375" style="84"/>
  </cols>
  <sheetData>
    <row r="1" spans="1:12" ht="15.6" x14ac:dyDescent="0.3">
      <c r="A1" s="82" t="s">
        <v>101</v>
      </c>
      <c r="B1" s="83"/>
      <c r="C1" s="83"/>
      <c r="D1" s="83"/>
    </row>
    <row r="2" spans="1:12" ht="15.6" x14ac:dyDescent="0.3">
      <c r="A2" s="85" t="s">
        <v>0</v>
      </c>
      <c r="B2" s="83"/>
      <c r="C2" s="83"/>
      <c r="D2" s="83"/>
    </row>
    <row r="3" spans="1:12" ht="15.6" x14ac:dyDescent="0.3">
      <c r="A3" s="82" t="s">
        <v>57</v>
      </c>
      <c r="B3" s="86"/>
      <c r="D3" s="83"/>
    </row>
    <row r="4" spans="1:12" ht="15.6" x14ac:dyDescent="0.3">
      <c r="A4" s="87" t="s">
        <v>2</v>
      </c>
      <c r="B4" s="88"/>
      <c r="C4" s="88"/>
      <c r="D4" s="88"/>
      <c r="E4" s="89"/>
      <c r="G4" s="90"/>
      <c r="I4" s="91" t="s">
        <v>58</v>
      </c>
      <c r="J4" s="92"/>
      <c r="K4" s="92"/>
    </row>
    <row r="5" spans="1:12" s="99" customFormat="1" x14ac:dyDescent="0.3">
      <c r="A5" s="93" t="s">
        <v>4</v>
      </c>
      <c r="B5" s="93" t="s">
        <v>5</v>
      </c>
      <c r="C5" s="93" t="s">
        <v>6</v>
      </c>
      <c r="D5" s="93" t="s">
        <v>44</v>
      </c>
      <c r="E5" s="94" t="s">
        <v>7</v>
      </c>
      <c r="F5" s="95"/>
      <c r="G5" s="90"/>
      <c r="H5" s="90"/>
      <c r="I5" s="96"/>
      <c r="J5" s="97" t="s">
        <v>87</v>
      </c>
      <c r="K5" s="98"/>
    </row>
    <row r="6" spans="1:12" x14ac:dyDescent="0.3">
      <c r="A6" s="100" t="s">
        <v>8</v>
      </c>
      <c r="B6" s="100" t="s">
        <v>9</v>
      </c>
      <c r="C6" s="154">
        <v>0.45</v>
      </c>
      <c r="D6" s="155">
        <v>180</v>
      </c>
      <c r="E6" s="103">
        <f t="shared" ref="E6:E14" si="0">(C6*D6)</f>
        <v>81</v>
      </c>
      <c r="F6" s="104"/>
      <c r="G6" s="105"/>
      <c r="H6" s="105"/>
      <c r="I6" s="106" t="s">
        <v>10</v>
      </c>
      <c r="J6" s="107" t="s">
        <v>11</v>
      </c>
      <c r="K6" s="106" t="s">
        <v>12</v>
      </c>
      <c r="L6" s="90"/>
    </row>
    <row r="7" spans="1:12" x14ac:dyDescent="0.3">
      <c r="A7" s="100" t="s">
        <v>13</v>
      </c>
      <c r="B7" s="100" t="s">
        <v>9</v>
      </c>
      <c r="C7" s="154">
        <v>0.56000000000000005</v>
      </c>
      <c r="D7" s="155">
        <v>100</v>
      </c>
      <c r="E7" s="103">
        <f t="shared" si="0"/>
        <v>56.000000000000007</v>
      </c>
      <c r="F7" s="104"/>
      <c r="G7" s="108" t="s">
        <v>86</v>
      </c>
      <c r="H7" s="109"/>
      <c r="I7" s="163">
        <v>12</v>
      </c>
      <c r="J7" s="164">
        <v>10</v>
      </c>
      <c r="K7" s="163">
        <v>8</v>
      </c>
      <c r="L7" s="90"/>
    </row>
    <row r="8" spans="1:12" x14ac:dyDescent="0.3">
      <c r="A8" s="100" t="s">
        <v>14</v>
      </c>
      <c r="B8" s="100" t="s">
        <v>9</v>
      </c>
      <c r="C8" s="154">
        <v>0.33</v>
      </c>
      <c r="D8" s="155">
        <v>100</v>
      </c>
      <c r="E8" s="103">
        <f t="shared" si="0"/>
        <v>33</v>
      </c>
      <c r="F8" s="104"/>
      <c r="G8" s="110" t="s">
        <v>15</v>
      </c>
      <c r="H8" s="162">
        <v>1400</v>
      </c>
      <c r="I8" s="103">
        <f t="shared" ref="I8:K10" si="1">(I$7*$H8)-$E$40-$E$60-$E64</f>
        <v>8406.2241250000006</v>
      </c>
      <c r="J8" s="103">
        <f t="shared" si="1"/>
        <v>5606.2241250000006</v>
      </c>
      <c r="K8" s="103">
        <f t="shared" si="1"/>
        <v>2806.2241250000006</v>
      </c>
      <c r="L8" s="90"/>
    </row>
    <row r="9" spans="1:12" x14ac:dyDescent="0.3">
      <c r="A9" s="100" t="s">
        <v>16</v>
      </c>
      <c r="B9" s="100" t="s">
        <v>17</v>
      </c>
      <c r="C9" s="154">
        <v>42</v>
      </c>
      <c r="D9" s="155">
        <v>1</v>
      </c>
      <c r="E9" s="103">
        <f>(C9*D9)/3</f>
        <v>14</v>
      </c>
      <c r="F9" s="104"/>
      <c r="G9" s="110" t="s">
        <v>18</v>
      </c>
      <c r="H9" s="162">
        <v>1100</v>
      </c>
      <c r="I9" s="103">
        <f t="shared" si="1"/>
        <v>5916.2241250000006</v>
      </c>
      <c r="J9" s="103">
        <f t="shared" si="1"/>
        <v>3716.2241250000006</v>
      </c>
      <c r="K9" s="103">
        <f t="shared" si="1"/>
        <v>1516.2241250000006</v>
      </c>
      <c r="L9" s="90"/>
    </row>
    <row r="10" spans="1:12" x14ac:dyDescent="0.3">
      <c r="A10" s="100" t="s">
        <v>19</v>
      </c>
      <c r="B10" s="100" t="s">
        <v>9</v>
      </c>
      <c r="C10" s="154">
        <v>4.5</v>
      </c>
      <c r="D10" s="155">
        <v>1.5</v>
      </c>
      <c r="E10" s="103">
        <f t="shared" si="0"/>
        <v>6.75</v>
      </c>
      <c r="F10" s="104"/>
      <c r="G10" s="110" t="s">
        <v>20</v>
      </c>
      <c r="H10" s="162">
        <v>800</v>
      </c>
      <c r="I10" s="103">
        <f t="shared" si="1"/>
        <v>3426.2241250000006</v>
      </c>
      <c r="J10" s="103">
        <f t="shared" si="1"/>
        <v>1826.2241250000006</v>
      </c>
      <c r="K10" s="103">
        <f t="shared" si="1"/>
        <v>226.22412500000019</v>
      </c>
      <c r="L10" s="90"/>
    </row>
    <row r="11" spans="1:12" x14ac:dyDescent="0.3">
      <c r="A11" s="100" t="s">
        <v>62</v>
      </c>
      <c r="B11" s="100" t="s">
        <v>9</v>
      </c>
      <c r="C11" s="154">
        <v>0.4</v>
      </c>
      <c r="D11" s="155">
        <v>20</v>
      </c>
      <c r="E11" s="103">
        <f t="shared" si="0"/>
        <v>8</v>
      </c>
      <c r="F11" s="104"/>
      <c r="G11" s="105"/>
      <c r="H11" s="111"/>
      <c r="I11" s="104"/>
      <c r="J11" s="104"/>
      <c r="K11" s="104"/>
      <c r="L11" s="90"/>
    </row>
    <row r="12" spans="1:12" ht="15" x14ac:dyDescent="0.3">
      <c r="A12" s="100" t="s">
        <v>21</v>
      </c>
      <c r="B12" s="100" t="s">
        <v>22</v>
      </c>
      <c r="C12" s="154">
        <v>74.709999999999994</v>
      </c>
      <c r="D12" s="155">
        <v>4</v>
      </c>
      <c r="E12" s="103">
        <f t="shared" si="0"/>
        <v>298.83999999999997</v>
      </c>
      <c r="F12" s="104"/>
      <c r="G12" s="105" t="s">
        <v>92</v>
      </c>
      <c r="H12" s="90"/>
      <c r="I12" s="90"/>
      <c r="J12" s="90"/>
      <c r="K12" s="90"/>
      <c r="L12" s="90"/>
    </row>
    <row r="13" spans="1:12" x14ac:dyDescent="0.3">
      <c r="A13" s="100" t="s">
        <v>23</v>
      </c>
      <c r="B13" s="100" t="s">
        <v>24</v>
      </c>
      <c r="C13" s="154">
        <v>6.5799999999999997E-2</v>
      </c>
      <c r="D13" s="155">
        <v>7260</v>
      </c>
      <c r="E13" s="103">
        <f t="shared" si="0"/>
        <v>477.70799999999997</v>
      </c>
      <c r="F13" s="104"/>
      <c r="G13" s="90"/>
      <c r="H13" s="90"/>
      <c r="I13" s="90"/>
      <c r="J13" s="90"/>
      <c r="K13" s="90"/>
      <c r="L13" s="90"/>
    </row>
    <row r="14" spans="1:12" x14ac:dyDescent="0.3">
      <c r="A14" s="100" t="s">
        <v>26</v>
      </c>
      <c r="B14" s="100" t="s">
        <v>27</v>
      </c>
      <c r="C14" s="154">
        <v>9.5</v>
      </c>
      <c r="D14" s="155">
        <v>56</v>
      </c>
      <c r="E14" s="103">
        <f t="shared" si="0"/>
        <v>532</v>
      </c>
      <c r="F14" s="104"/>
      <c r="G14" s="112"/>
      <c r="H14" s="113"/>
      <c r="I14" s="90"/>
      <c r="J14" s="90"/>
      <c r="K14" s="90"/>
      <c r="L14" s="90"/>
    </row>
    <row r="15" spans="1:12" x14ac:dyDescent="0.3">
      <c r="A15" s="114" t="s">
        <v>89</v>
      </c>
      <c r="B15" s="100" t="s">
        <v>88</v>
      </c>
      <c r="C15" s="154">
        <v>51</v>
      </c>
      <c r="D15" s="155">
        <v>24</v>
      </c>
      <c r="E15" s="103">
        <f>(C15*D15)/3</f>
        <v>408</v>
      </c>
      <c r="F15" s="104"/>
      <c r="G15" s="87" t="s">
        <v>25</v>
      </c>
      <c r="H15" s="96"/>
      <c r="I15" s="89"/>
      <c r="J15" s="89"/>
      <c r="K15" s="89"/>
      <c r="L15" s="90"/>
    </row>
    <row r="16" spans="1:12" x14ac:dyDescent="0.3">
      <c r="A16" s="114" t="s">
        <v>63</v>
      </c>
      <c r="B16" s="100" t="s">
        <v>64</v>
      </c>
      <c r="C16" s="154">
        <v>7</v>
      </c>
      <c r="D16" s="155">
        <v>8</v>
      </c>
      <c r="E16" s="103">
        <f>C16*D16</f>
        <v>56</v>
      </c>
      <c r="F16" s="104"/>
      <c r="G16" s="87" t="s">
        <v>28</v>
      </c>
      <c r="H16" s="96"/>
      <c r="I16" s="89"/>
      <c r="J16" s="89"/>
      <c r="K16" s="89"/>
      <c r="L16" s="90"/>
    </row>
    <row r="17" spans="1:12" ht="15" x14ac:dyDescent="0.3">
      <c r="A17" s="159" t="s">
        <v>68</v>
      </c>
      <c r="B17" s="155" t="s">
        <v>59</v>
      </c>
      <c r="C17" s="154">
        <v>11.5</v>
      </c>
      <c r="D17" s="155">
        <v>1.5</v>
      </c>
      <c r="E17" s="103">
        <f t="shared" ref="E17:E29" si="2">C17*D17</f>
        <v>17.25</v>
      </c>
      <c r="F17" s="104"/>
      <c r="G17" s="115" t="s">
        <v>29</v>
      </c>
      <c r="H17" s="165">
        <v>6</v>
      </c>
      <c r="I17" s="116" t="s">
        <v>30</v>
      </c>
      <c r="J17" s="116"/>
      <c r="K17" s="117"/>
      <c r="L17" s="90"/>
    </row>
    <row r="18" spans="1:12" ht="15" x14ac:dyDescent="0.3">
      <c r="A18" s="160" t="s">
        <v>69</v>
      </c>
      <c r="B18" s="161" t="s">
        <v>9</v>
      </c>
      <c r="C18" s="154">
        <v>10.95</v>
      </c>
      <c r="D18" s="155">
        <v>0.16</v>
      </c>
      <c r="E18" s="103">
        <f t="shared" si="2"/>
        <v>1.752</v>
      </c>
      <c r="F18" s="104"/>
      <c r="G18" s="118" t="s">
        <v>31</v>
      </c>
      <c r="H18" s="166">
        <v>2</v>
      </c>
      <c r="I18" s="119" t="s">
        <v>32</v>
      </c>
      <c r="J18" s="119"/>
      <c r="K18" s="120"/>
      <c r="L18" s="90"/>
    </row>
    <row r="19" spans="1:12" ht="15" x14ac:dyDescent="0.3">
      <c r="A19" s="155" t="s">
        <v>80</v>
      </c>
      <c r="B19" s="155" t="s">
        <v>65</v>
      </c>
      <c r="C19" s="155">
        <v>2.25</v>
      </c>
      <c r="D19" s="155">
        <v>1.2</v>
      </c>
      <c r="E19" s="103">
        <f t="shared" si="2"/>
        <v>2.6999999999999997</v>
      </c>
      <c r="F19" s="104"/>
      <c r="G19" s="118" t="s">
        <v>31</v>
      </c>
      <c r="H19" s="121">
        <f>1-(((43560/H17)*3)/43560)</f>
        <v>0.5</v>
      </c>
      <c r="I19" s="119" t="s">
        <v>98</v>
      </c>
      <c r="J19" s="119"/>
      <c r="K19" s="120"/>
      <c r="L19" s="90"/>
    </row>
    <row r="20" spans="1:12" ht="15.6" x14ac:dyDescent="0.35">
      <c r="A20" s="155" t="s">
        <v>81</v>
      </c>
      <c r="B20" s="155" t="s">
        <v>65</v>
      </c>
      <c r="C20" s="155">
        <v>4.38</v>
      </c>
      <c r="D20" s="155">
        <v>1</v>
      </c>
      <c r="E20" s="103">
        <f t="shared" si="2"/>
        <v>4.38</v>
      </c>
      <c r="F20" s="104"/>
      <c r="G20" s="118" t="s">
        <v>31</v>
      </c>
      <c r="H20" s="122">
        <f>43560/H17</f>
        <v>7260</v>
      </c>
      <c r="I20" s="119" t="s">
        <v>33</v>
      </c>
      <c r="J20" s="119"/>
      <c r="K20" s="120"/>
      <c r="L20" s="90"/>
    </row>
    <row r="21" spans="1:12" x14ac:dyDescent="0.3">
      <c r="A21" s="155" t="s">
        <v>70</v>
      </c>
      <c r="B21" s="155" t="s">
        <v>71</v>
      </c>
      <c r="C21" s="154">
        <v>0.54</v>
      </c>
      <c r="D21" s="155">
        <f>3*5</f>
        <v>15</v>
      </c>
      <c r="E21" s="103">
        <f t="shared" si="2"/>
        <v>8.1000000000000014</v>
      </c>
      <c r="F21" s="104"/>
      <c r="G21" s="123" t="s">
        <v>31</v>
      </c>
      <c r="H21" s="124">
        <f>H20/H18</f>
        <v>3630</v>
      </c>
      <c r="I21" s="125" t="s">
        <v>34</v>
      </c>
      <c r="J21" s="125"/>
      <c r="K21" s="126"/>
      <c r="L21" s="90"/>
    </row>
    <row r="22" spans="1:12" x14ac:dyDescent="0.3">
      <c r="A22" s="155" t="s">
        <v>77</v>
      </c>
      <c r="B22" s="155" t="s">
        <v>71</v>
      </c>
      <c r="C22" s="154">
        <v>4.3099999999999996</v>
      </c>
      <c r="D22" s="155">
        <f>1*4</f>
        <v>4</v>
      </c>
      <c r="E22" s="103">
        <f t="shared" si="2"/>
        <v>17.239999999999998</v>
      </c>
      <c r="F22" s="104"/>
      <c r="G22" s="90"/>
      <c r="H22" s="90"/>
      <c r="I22" s="127"/>
      <c r="J22" s="90"/>
      <c r="K22" s="90"/>
      <c r="L22" s="90"/>
    </row>
    <row r="23" spans="1:12" x14ac:dyDescent="0.3">
      <c r="A23" s="156" t="s">
        <v>72</v>
      </c>
      <c r="B23" s="155" t="s">
        <v>71</v>
      </c>
      <c r="C23" s="155">
        <v>5.74</v>
      </c>
      <c r="D23" s="155">
        <f>1*7.5</f>
        <v>7.5</v>
      </c>
      <c r="E23" s="103">
        <f t="shared" si="2"/>
        <v>43.050000000000004</v>
      </c>
      <c r="G23" s="128"/>
      <c r="I23" s="90"/>
      <c r="J23" s="90"/>
      <c r="K23" s="90"/>
      <c r="L23" s="90"/>
    </row>
    <row r="24" spans="1:12" x14ac:dyDescent="0.3">
      <c r="A24" s="155" t="s">
        <v>85</v>
      </c>
      <c r="B24" s="155" t="s">
        <v>9</v>
      </c>
      <c r="C24" s="154">
        <v>3.2</v>
      </c>
      <c r="D24" s="155">
        <f>3*1.5</f>
        <v>4.5</v>
      </c>
      <c r="E24" s="103">
        <f t="shared" si="2"/>
        <v>14.4</v>
      </c>
      <c r="F24" s="104"/>
      <c r="G24" s="90"/>
      <c r="H24" s="129"/>
      <c r="I24" s="90"/>
      <c r="J24" s="90"/>
      <c r="K24" s="90"/>
      <c r="L24" s="90"/>
    </row>
    <row r="25" spans="1:12" x14ac:dyDescent="0.3">
      <c r="A25" s="155" t="s">
        <v>73</v>
      </c>
      <c r="B25" s="155" t="s">
        <v>9</v>
      </c>
      <c r="C25" s="154">
        <v>6</v>
      </c>
      <c r="D25" s="155">
        <f>3*1.25</f>
        <v>3.75</v>
      </c>
      <c r="E25" s="103">
        <f t="shared" si="2"/>
        <v>22.5</v>
      </c>
      <c r="F25" s="104"/>
      <c r="G25" s="90"/>
      <c r="H25" s="129"/>
      <c r="I25" s="90"/>
      <c r="J25" s="90"/>
      <c r="K25" s="90"/>
      <c r="L25" s="90"/>
    </row>
    <row r="26" spans="1:12" x14ac:dyDescent="0.3">
      <c r="A26" s="155" t="s">
        <v>74</v>
      </c>
      <c r="B26" s="155" t="s">
        <v>71</v>
      </c>
      <c r="C26" s="154">
        <v>3.2</v>
      </c>
      <c r="D26" s="155">
        <f>2*6</f>
        <v>12</v>
      </c>
      <c r="E26" s="103">
        <f t="shared" si="2"/>
        <v>38.400000000000006</v>
      </c>
      <c r="F26" s="104"/>
      <c r="G26" s="130"/>
      <c r="H26" s="129"/>
      <c r="I26" s="90"/>
      <c r="J26" s="90"/>
      <c r="K26" s="90"/>
      <c r="L26" s="90"/>
    </row>
    <row r="27" spans="1:12" x14ac:dyDescent="0.3">
      <c r="A27" s="155" t="s">
        <v>75</v>
      </c>
      <c r="B27" s="155" t="s">
        <v>79</v>
      </c>
      <c r="C27" s="154">
        <v>5.13</v>
      </c>
      <c r="D27" s="155">
        <f>8*2.5</f>
        <v>20</v>
      </c>
      <c r="E27" s="103">
        <f t="shared" si="2"/>
        <v>102.6</v>
      </c>
      <c r="F27" s="104"/>
      <c r="G27" s="90"/>
      <c r="H27" s="129"/>
      <c r="I27" s="90"/>
      <c r="J27" s="90"/>
      <c r="K27" s="90"/>
      <c r="L27" s="90"/>
    </row>
    <row r="28" spans="1:12" x14ac:dyDescent="0.3">
      <c r="A28" s="114" t="s">
        <v>82</v>
      </c>
      <c r="B28" s="100" t="s">
        <v>35</v>
      </c>
      <c r="C28" s="154">
        <v>10</v>
      </c>
      <c r="D28" s="155">
        <v>8</v>
      </c>
      <c r="E28" s="103">
        <f t="shared" si="2"/>
        <v>80</v>
      </c>
      <c r="F28" s="104"/>
      <c r="G28" s="90"/>
      <c r="H28" s="129"/>
      <c r="I28" s="90"/>
      <c r="J28" s="90"/>
      <c r="K28" s="90"/>
      <c r="L28" s="90"/>
    </row>
    <row r="29" spans="1:12" x14ac:dyDescent="0.3">
      <c r="A29" s="100" t="s">
        <v>83</v>
      </c>
      <c r="B29" s="100" t="s">
        <v>35</v>
      </c>
      <c r="C29" s="154">
        <v>10</v>
      </c>
      <c r="D29" s="156">
        <v>16</v>
      </c>
      <c r="E29" s="103">
        <f t="shared" si="2"/>
        <v>160</v>
      </c>
      <c r="F29" s="104"/>
      <c r="G29" s="130"/>
      <c r="H29" s="90"/>
      <c r="I29" s="90"/>
      <c r="J29" s="90"/>
      <c r="K29" s="90"/>
      <c r="L29" s="90"/>
    </row>
    <row r="30" spans="1:12" x14ac:dyDescent="0.3">
      <c r="A30" s="100" t="s">
        <v>84</v>
      </c>
      <c r="B30" s="100" t="s">
        <v>37</v>
      </c>
      <c r="C30" s="154">
        <v>10</v>
      </c>
      <c r="D30" s="155">
        <v>10</v>
      </c>
      <c r="E30" s="103">
        <f>C30*D30</f>
        <v>100</v>
      </c>
      <c r="F30" s="131"/>
      <c r="G30" s="90"/>
      <c r="H30" s="90"/>
      <c r="I30" s="90"/>
      <c r="J30" s="90"/>
      <c r="K30" s="90"/>
      <c r="L30" s="90"/>
    </row>
    <row r="31" spans="1:12" x14ac:dyDescent="0.3">
      <c r="A31" s="100" t="s">
        <v>40</v>
      </c>
      <c r="B31" s="100" t="s">
        <v>37</v>
      </c>
      <c r="C31" s="154">
        <v>20</v>
      </c>
      <c r="D31" s="155">
        <v>1</v>
      </c>
      <c r="E31" s="103">
        <f>C31*D31</f>
        <v>20</v>
      </c>
      <c r="F31" s="131"/>
      <c r="G31" s="90"/>
      <c r="H31" s="90"/>
      <c r="I31" s="90"/>
      <c r="J31" s="90"/>
      <c r="K31" s="90"/>
      <c r="L31" s="90"/>
    </row>
    <row r="32" spans="1:12" x14ac:dyDescent="0.3">
      <c r="A32" s="155"/>
      <c r="B32" s="155"/>
      <c r="C32" s="154"/>
      <c r="D32" s="155"/>
      <c r="E32" s="103">
        <f t="shared" ref="E32:E38" si="3">C32*D32</f>
        <v>0</v>
      </c>
      <c r="F32" s="131"/>
      <c r="G32" s="90"/>
      <c r="H32" s="90"/>
      <c r="I32" s="90"/>
      <c r="J32" s="90"/>
      <c r="K32" s="90"/>
      <c r="L32" s="90"/>
    </row>
    <row r="33" spans="1:12" x14ac:dyDescent="0.3">
      <c r="A33" s="155"/>
      <c r="B33" s="155"/>
      <c r="C33" s="154"/>
      <c r="D33" s="155"/>
      <c r="E33" s="103">
        <f t="shared" si="3"/>
        <v>0</v>
      </c>
      <c r="F33" s="131"/>
      <c r="G33" s="90"/>
      <c r="H33" s="90"/>
      <c r="I33" s="90"/>
      <c r="J33" s="90"/>
      <c r="K33" s="90"/>
      <c r="L33" s="90"/>
    </row>
    <row r="34" spans="1:12" x14ac:dyDescent="0.3">
      <c r="A34" s="155"/>
      <c r="B34" s="155"/>
      <c r="C34" s="154"/>
      <c r="D34" s="155"/>
      <c r="E34" s="103">
        <f t="shared" si="3"/>
        <v>0</v>
      </c>
      <c r="F34" s="131"/>
      <c r="G34" s="90"/>
      <c r="H34" s="90"/>
      <c r="I34" s="90"/>
      <c r="J34" s="90"/>
      <c r="K34" s="90"/>
      <c r="L34" s="90"/>
    </row>
    <row r="35" spans="1:12" x14ac:dyDescent="0.3">
      <c r="A35" s="155"/>
      <c r="B35" s="155"/>
      <c r="C35" s="154"/>
      <c r="D35" s="155"/>
      <c r="E35" s="103">
        <f t="shared" si="3"/>
        <v>0</v>
      </c>
      <c r="F35" s="131"/>
      <c r="G35" s="90"/>
      <c r="H35" s="90"/>
      <c r="I35" s="90"/>
      <c r="J35" s="90"/>
      <c r="K35" s="90"/>
      <c r="L35" s="90"/>
    </row>
    <row r="36" spans="1:12" x14ac:dyDescent="0.3">
      <c r="A36" s="155"/>
      <c r="B36" s="155"/>
      <c r="C36" s="154"/>
      <c r="D36" s="155"/>
      <c r="E36" s="103">
        <f t="shared" si="3"/>
        <v>0</v>
      </c>
      <c r="F36" s="131"/>
      <c r="G36" s="90"/>
      <c r="H36" s="90"/>
      <c r="I36" s="90"/>
      <c r="J36" s="90"/>
      <c r="K36" s="90"/>
      <c r="L36" s="90"/>
    </row>
    <row r="37" spans="1:12" x14ac:dyDescent="0.3">
      <c r="A37" s="155"/>
      <c r="B37" s="155"/>
      <c r="C37" s="154"/>
      <c r="D37" s="155"/>
      <c r="E37" s="103">
        <f t="shared" si="3"/>
        <v>0</v>
      </c>
      <c r="F37" s="131"/>
      <c r="G37" s="90"/>
      <c r="H37" s="90"/>
      <c r="I37" s="90"/>
      <c r="J37" s="90"/>
      <c r="K37" s="90"/>
      <c r="L37" s="90"/>
    </row>
    <row r="38" spans="1:12" x14ac:dyDescent="0.3">
      <c r="A38" s="155"/>
      <c r="B38" s="155"/>
      <c r="C38" s="154"/>
      <c r="D38" s="155"/>
      <c r="E38" s="103">
        <f t="shared" si="3"/>
        <v>0</v>
      </c>
      <c r="F38" s="131"/>
      <c r="G38" s="90"/>
      <c r="H38" s="90"/>
      <c r="I38" s="90"/>
      <c r="J38" s="90"/>
      <c r="K38" s="90"/>
      <c r="L38" s="90"/>
    </row>
    <row r="39" spans="1:12" ht="15" x14ac:dyDescent="0.3">
      <c r="A39" s="100" t="s">
        <v>41</v>
      </c>
      <c r="B39" s="132">
        <f>SUM(E6:E38)</f>
        <v>2603.67</v>
      </c>
      <c r="C39" s="157">
        <v>6</v>
      </c>
      <c r="D39" s="158">
        <v>2.5000000000000001E-2</v>
      </c>
      <c r="E39" s="103">
        <f>B39*(C39/12)*D39</f>
        <v>32.545875000000002</v>
      </c>
      <c r="F39" s="90"/>
      <c r="G39" s="90"/>
      <c r="H39" s="90"/>
    </row>
    <row r="40" spans="1:12" x14ac:dyDescent="0.3">
      <c r="A40" s="133" t="s">
        <v>42</v>
      </c>
      <c r="B40" s="134"/>
      <c r="C40" s="134"/>
      <c r="D40" s="134"/>
      <c r="E40" s="135">
        <f>SUM(E6:E39)</f>
        <v>2636.2158749999999</v>
      </c>
      <c r="F40" s="95"/>
    </row>
    <row r="41" spans="1:12" x14ac:dyDescent="0.3">
      <c r="A41" s="136"/>
      <c r="B41" s="90"/>
      <c r="C41" s="90"/>
      <c r="D41" s="90"/>
      <c r="E41" s="131"/>
      <c r="F41" s="104"/>
    </row>
    <row r="42" spans="1:12" x14ac:dyDescent="0.3">
      <c r="A42" s="87" t="s">
        <v>43</v>
      </c>
      <c r="B42" s="96"/>
      <c r="C42" s="96"/>
      <c r="D42" s="96"/>
      <c r="E42" s="96"/>
      <c r="F42" s="104"/>
    </row>
    <row r="43" spans="1:12" x14ac:dyDescent="0.3">
      <c r="A43" s="93" t="s">
        <v>4</v>
      </c>
      <c r="B43" s="93" t="s">
        <v>5</v>
      </c>
      <c r="C43" s="93" t="s">
        <v>6</v>
      </c>
      <c r="D43" s="93" t="s">
        <v>44</v>
      </c>
      <c r="E43" s="94" t="s">
        <v>7</v>
      </c>
      <c r="F43" s="104"/>
      <c r="I43" s="90"/>
      <c r="J43" s="90"/>
      <c r="K43" s="90"/>
      <c r="L43" s="90"/>
    </row>
    <row r="44" spans="1:12" x14ac:dyDescent="0.3">
      <c r="A44" s="100" t="s">
        <v>45</v>
      </c>
      <c r="B44" s="100" t="s">
        <v>46</v>
      </c>
      <c r="C44" s="101">
        <v>8.4</v>
      </c>
      <c r="D44" s="102">
        <v>1</v>
      </c>
      <c r="E44" s="103">
        <f>C44*D44</f>
        <v>8.4</v>
      </c>
      <c r="F44" s="104"/>
      <c r="H44" s="90"/>
    </row>
    <row r="45" spans="1:12" x14ac:dyDescent="0.3">
      <c r="A45" s="100" t="s">
        <v>47</v>
      </c>
      <c r="B45" s="100" t="s">
        <v>46</v>
      </c>
      <c r="C45" s="101">
        <v>9.2899999999999991</v>
      </c>
      <c r="D45" s="102">
        <v>9</v>
      </c>
      <c r="E45" s="103">
        <f t="shared" ref="E45:E59" si="4">C45*D45</f>
        <v>83.609999999999985</v>
      </c>
      <c r="F45" s="104"/>
    </row>
    <row r="46" spans="1:12" x14ac:dyDescent="0.3">
      <c r="A46" s="100" t="s">
        <v>76</v>
      </c>
      <c r="B46" s="100" t="s">
        <v>37</v>
      </c>
      <c r="C46" s="101">
        <v>30</v>
      </c>
      <c r="D46" s="102">
        <v>1</v>
      </c>
      <c r="E46" s="103">
        <f>C46*D46</f>
        <v>30</v>
      </c>
      <c r="F46" s="104"/>
    </row>
    <row r="47" spans="1:12" x14ac:dyDescent="0.3">
      <c r="A47" s="100" t="s">
        <v>48</v>
      </c>
      <c r="B47" s="100" t="s">
        <v>37</v>
      </c>
      <c r="C47" s="101">
        <v>21.7</v>
      </c>
      <c r="D47" s="102">
        <v>1</v>
      </c>
      <c r="E47" s="103">
        <f t="shared" si="4"/>
        <v>21.7</v>
      </c>
      <c r="F47" s="104"/>
      <c r="G47" s="90" t="s">
        <v>39</v>
      </c>
    </row>
    <row r="48" spans="1:12" x14ac:dyDescent="0.3">
      <c r="A48" s="100" t="s">
        <v>78</v>
      </c>
      <c r="B48" s="100" t="s">
        <v>37</v>
      </c>
      <c r="C48" s="101">
        <v>15</v>
      </c>
      <c r="D48" s="102">
        <v>1</v>
      </c>
      <c r="E48" s="103">
        <v>15</v>
      </c>
      <c r="F48" s="104"/>
    </row>
    <row r="49" spans="1:6" x14ac:dyDescent="0.3">
      <c r="A49" s="100" t="s">
        <v>49</v>
      </c>
      <c r="B49" s="100" t="s">
        <v>37</v>
      </c>
      <c r="C49" s="101">
        <v>18.100000000000001</v>
      </c>
      <c r="D49" s="102">
        <v>1</v>
      </c>
      <c r="E49" s="103">
        <f t="shared" si="4"/>
        <v>18.100000000000001</v>
      </c>
      <c r="F49" s="104"/>
    </row>
    <row r="50" spans="1:6" x14ac:dyDescent="0.3">
      <c r="A50" s="100" t="s">
        <v>36</v>
      </c>
      <c r="B50" s="100" t="s">
        <v>37</v>
      </c>
      <c r="C50" s="101">
        <v>135</v>
      </c>
      <c r="D50" s="102">
        <v>1</v>
      </c>
      <c r="E50" s="103">
        <f>C50*D50</f>
        <v>135</v>
      </c>
      <c r="F50" s="104"/>
    </row>
    <row r="51" spans="1:6" x14ac:dyDescent="0.3">
      <c r="A51" s="100" t="s">
        <v>38</v>
      </c>
      <c r="B51" s="100" t="s">
        <v>37</v>
      </c>
      <c r="C51" s="101">
        <v>35</v>
      </c>
      <c r="D51" s="102">
        <v>1</v>
      </c>
      <c r="E51" s="103">
        <f>C51*D51</f>
        <v>35</v>
      </c>
      <c r="F51" s="104"/>
    </row>
    <row r="52" spans="1:6" x14ac:dyDescent="0.3">
      <c r="A52" s="102"/>
      <c r="B52" s="102"/>
      <c r="C52" s="101"/>
      <c r="D52" s="102"/>
      <c r="E52" s="103">
        <f t="shared" ref="E52:E57" si="5">C52*D52</f>
        <v>0</v>
      </c>
      <c r="F52" s="104"/>
    </row>
    <row r="53" spans="1:6" x14ac:dyDescent="0.3">
      <c r="A53" s="102"/>
      <c r="B53" s="102"/>
      <c r="C53" s="101"/>
      <c r="D53" s="102"/>
      <c r="E53" s="103">
        <f t="shared" si="5"/>
        <v>0</v>
      </c>
      <c r="F53" s="104"/>
    </row>
    <row r="54" spans="1:6" x14ac:dyDescent="0.3">
      <c r="A54" s="102"/>
      <c r="B54" s="102"/>
      <c r="C54" s="101"/>
      <c r="D54" s="102"/>
      <c r="E54" s="103">
        <f t="shared" si="5"/>
        <v>0</v>
      </c>
      <c r="F54" s="104"/>
    </row>
    <row r="55" spans="1:6" x14ac:dyDescent="0.3">
      <c r="A55" s="102"/>
      <c r="B55" s="102"/>
      <c r="C55" s="101"/>
      <c r="D55" s="102"/>
      <c r="E55" s="103">
        <f t="shared" si="5"/>
        <v>0</v>
      </c>
      <c r="F55" s="104"/>
    </row>
    <row r="56" spans="1:6" x14ac:dyDescent="0.3">
      <c r="A56" s="102"/>
      <c r="B56" s="102"/>
      <c r="C56" s="101"/>
      <c r="D56" s="102"/>
      <c r="E56" s="103">
        <f t="shared" si="5"/>
        <v>0</v>
      </c>
      <c r="F56" s="104"/>
    </row>
    <row r="57" spans="1:6" x14ac:dyDescent="0.3">
      <c r="A57" s="102"/>
      <c r="B57" s="102"/>
      <c r="C57" s="101"/>
      <c r="D57" s="102"/>
      <c r="E57" s="103">
        <f t="shared" si="5"/>
        <v>0</v>
      </c>
      <c r="F57" s="104"/>
    </row>
    <row r="58" spans="1:6" ht="15" x14ac:dyDescent="0.3">
      <c r="A58" s="100" t="s">
        <v>60</v>
      </c>
      <c r="B58" s="100" t="s">
        <v>99</v>
      </c>
      <c r="C58" s="101">
        <v>181.47</v>
      </c>
      <c r="D58" s="102">
        <v>1</v>
      </c>
      <c r="E58" s="103">
        <f t="shared" si="4"/>
        <v>181.47</v>
      </c>
      <c r="F58" s="104"/>
    </row>
    <row r="59" spans="1:6" ht="15" x14ac:dyDescent="0.3">
      <c r="A59" s="100" t="s">
        <v>61</v>
      </c>
      <c r="B59" s="100" t="s">
        <v>50</v>
      </c>
      <c r="C59" s="101">
        <v>6.16</v>
      </c>
      <c r="D59" s="102">
        <v>8</v>
      </c>
      <c r="E59" s="103">
        <f t="shared" si="4"/>
        <v>49.28</v>
      </c>
      <c r="F59" s="104"/>
    </row>
    <row r="60" spans="1:6" x14ac:dyDescent="0.3">
      <c r="A60" s="133" t="s">
        <v>51</v>
      </c>
      <c r="B60" s="134"/>
      <c r="C60" s="134"/>
      <c r="D60" s="134"/>
      <c r="E60" s="135">
        <f>SUM(E44:E59)</f>
        <v>577.55999999999995</v>
      </c>
      <c r="F60" s="104"/>
    </row>
    <row r="61" spans="1:6" x14ac:dyDescent="0.3">
      <c r="A61" s="136"/>
      <c r="B61" s="90"/>
      <c r="C61" s="90"/>
      <c r="D61" s="90"/>
      <c r="E61" s="131"/>
      <c r="F61" s="104"/>
    </row>
    <row r="62" spans="1:6" x14ac:dyDescent="0.3">
      <c r="A62" s="87" t="s">
        <v>52</v>
      </c>
      <c r="B62" s="96"/>
      <c r="C62" s="96"/>
      <c r="D62" s="96"/>
      <c r="E62" s="96"/>
      <c r="F62" s="137"/>
    </row>
    <row r="63" spans="1:6" x14ac:dyDescent="0.3">
      <c r="A63" s="93" t="s">
        <v>4</v>
      </c>
      <c r="B63" s="93" t="s">
        <v>5</v>
      </c>
      <c r="C63" s="93" t="s">
        <v>6</v>
      </c>
      <c r="D63" s="93" t="s">
        <v>44</v>
      </c>
      <c r="E63" s="94" t="s">
        <v>7</v>
      </c>
    </row>
    <row r="64" spans="1:6" ht="15" x14ac:dyDescent="0.3">
      <c r="A64" s="138" t="s">
        <v>93</v>
      </c>
      <c r="B64" s="138" t="s">
        <v>95</v>
      </c>
      <c r="C64" s="154">
        <f>1.15+1.8+0.75</f>
        <v>3.7</v>
      </c>
      <c r="D64" s="139">
        <f>H8</f>
        <v>1400</v>
      </c>
      <c r="E64" s="103">
        <f>C64*D64</f>
        <v>5180</v>
      </c>
    </row>
    <row r="65" spans="1:8" ht="15" x14ac:dyDescent="0.3">
      <c r="A65" s="138" t="s">
        <v>96</v>
      </c>
      <c r="B65" s="138" t="s">
        <v>95</v>
      </c>
      <c r="C65" s="154">
        <f t="shared" ref="C65:C66" si="6">1.15+1.8+0.75</f>
        <v>3.7</v>
      </c>
      <c r="D65" s="139">
        <f>H9</f>
        <v>1100</v>
      </c>
      <c r="E65" s="103">
        <f>C65*D65</f>
        <v>4070</v>
      </c>
      <c r="G65" s="90"/>
      <c r="H65" s="90"/>
    </row>
    <row r="66" spans="1:8" ht="15" x14ac:dyDescent="0.3">
      <c r="A66" s="138" t="s">
        <v>97</v>
      </c>
      <c r="B66" s="138" t="s">
        <v>95</v>
      </c>
      <c r="C66" s="154">
        <f t="shared" si="6"/>
        <v>3.7</v>
      </c>
      <c r="D66" s="139">
        <f>H10</f>
        <v>800</v>
      </c>
      <c r="E66" s="103">
        <f>C66*D66</f>
        <v>2960</v>
      </c>
    </row>
    <row r="67" spans="1:8" x14ac:dyDescent="0.3">
      <c r="E67" s="104"/>
    </row>
    <row r="68" spans="1:8" x14ac:dyDescent="0.3">
      <c r="A68" s="140" t="s">
        <v>53</v>
      </c>
      <c r="B68" s="141"/>
      <c r="C68" s="142"/>
      <c r="D68" s="142"/>
      <c r="E68" s="143">
        <f>E40+E60+E65</f>
        <v>7283.7758749999994</v>
      </c>
    </row>
    <row r="69" spans="1:8" x14ac:dyDescent="0.3">
      <c r="A69" s="140" t="s">
        <v>54</v>
      </c>
      <c r="B69" s="141"/>
      <c r="C69" s="142"/>
      <c r="D69" s="142"/>
      <c r="E69" s="143">
        <f>(J7*H9)</f>
        <v>11000</v>
      </c>
    </row>
    <row r="70" spans="1:8" s="90" customFormat="1" x14ac:dyDescent="0.3">
      <c r="A70" s="144" t="s">
        <v>55</v>
      </c>
      <c r="B70" s="145"/>
      <c r="C70" s="146"/>
      <c r="D70" s="147"/>
      <c r="E70" s="148">
        <f>SUM(E69-E68)</f>
        <v>3716.2241250000006</v>
      </c>
      <c r="G70" s="84"/>
      <c r="H70" s="84"/>
    </row>
    <row r="71" spans="1:8" x14ac:dyDescent="0.3">
      <c r="A71" s="113"/>
      <c r="B71" s="149"/>
      <c r="C71" s="150"/>
      <c r="D71" s="150"/>
      <c r="E71" s="137"/>
      <c r="F71" s="90"/>
      <c r="G71" s="90"/>
      <c r="H71" s="90"/>
    </row>
    <row r="72" spans="1:8" ht="15" x14ac:dyDescent="0.3">
      <c r="A72" s="151" t="s">
        <v>67</v>
      </c>
      <c r="G72" s="152">
        <f>1-H19</f>
        <v>0.5</v>
      </c>
      <c r="H72" s="84" t="s">
        <v>66</v>
      </c>
    </row>
    <row r="73" spans="1:8" ht="15" x14ac:dyDescent="0.3">
      <c r="A73" s="151"/>
      <c r="G73" s="152"/>
    </row>
    <row r="74" spans="1:8" ht="15" x14ac:dyDescent="0.3">
      <c r="A74" s="151" t="s">
        <v>90</v>
      </c>
      <c r="D74" s="90"/>
      <c r="E74" s="90"/>
    </row>
    <row r="76" spans="1:8" ht="15" x14ac:dyDescent="0.3">
      <c r="A76" s="151" t="s">
        <v>91</v>
      </c>
      <c r="B76" s="153"/>
      <c r="C76" s="153"/>
      <c r="D76" s="153"/>
      <c r="E76" s="137"/>
    </row>
    <row r="77" spans="1:8" x14ac:dyDescent="0.3">
      <c r="A77" s="84" t="s">
        <v>56</v>
      </c>
    </row>
    <row r="79" spans="1:8" ht="15" x14ac:dyDescent="0.3">
      <c r="A79" s="151" t="s">
        <v>100</v>
      </c>
    </row>
  </sheetData>
  <sheetProtection algorithmName="SHA-512" hashValue="FXO6IXuzK2uDy0ROHxFD3qNB+0BwBmouZkXTFqemImLs9CflJBM1T+7tlT0544W0w6YQo0bzpL/6uuXaXP9uFQ==" saltValue="71MH+jFJpNfflJfMpsiqFQ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W. Jennings</dc:creator>
  <cp:keywords/>
  <dc:description/>
  <cp:lastModifiedBy>Emmalea Ernest</cp:lastModifiedBy>
  <cp:revision/>
  <dcterms:created xsi:type="dcterms:W3CDTF">2000-09-13T10:07:55Z</dcterms:created>
  <dcterms:modified xsi:type="dcterms:W3CDTF">2017-11-15T20:11:43Z</dcterms:modified>
  <cp:category/>
  <cp:contentStatus/>
</cp:coreProperties>
</file>