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53222"/>
  <mc:AlternateContent xmlns:mc="http://schemas.openxmlformats.org/markup-compatibility/2006">
    <mc:Choice Requires="x15">
      <x15ac:absPath xmlns:x15ac="http://schemas.microsoft.com/office/spreadsheetml/2010/11/ac" url="C:\Users\emmalea.BLUEHEN\Dropbox\CropBudgets\New Budgets\2016FreshMarket\"/>
    </mc:Choice>
  </mc:AlternateContent>
  <bookViews>
    <workbookView xWindow="480" yWindow="108" windowWidth="9696" windowHeight="7296"/>
  </bookViews>
  <sheets>
    <sheet name="Estimated" sheetId="1" r:id="rId1"/>
    <sheet name="Actual" sheetId="5" r:id="rId2"/>
  </sheets>
  <calcPr calcId="152511"/>
</workbook>
</file>

<file path=xl/calcChain.xml><?xml version="1.0" encoding="utf-8"?>
<calcChain xmlns="http://schemas.openxmlformats.org/spreadsheetml/2006/main">
  <c r="E40" i="5" l="1"/>
  <c r="E63" i="5"/>
  <c r="E54" i="5"/>
  <c r="E55" i="5"/>
  <c r="E56" i="5"/>
  <c r="E57" i="5"/>
  <c r="E58" i="5"/>
  <c r="E59" i="5"/>
  <c r="E60" i="5"/>
  <c r="B39" i="5"/>
  <c r="E29" i="5"/>
  <c r="E30" i="5"/>
  <c r="E31" i="5"/>
  <c r="E32" i="5"/>
  <c r="E33" i="5"/>
  <c r="E34" i="5"/>
  <c r="E35" i="5"/>
  <c r="E36" i="5"/>
  <c r="E37" i="5"/>
  <c r="E72" i="5"/>
  <c r="D69" i="5"/>
  <c r="E69" i="5" s="1"/>
  <c r="D68" i="5"/>
  <c r="E68" i="5" s="1"/>
  <c r="D67" i="5"/>
  <c r="E67" i="5" s="1"/>
  <c r="E62" i="5"/>
  <c r="E61" i="5"/>
  <c r="E53" i="5"/>
  <c r="E52" i="5"/>
  <c r="E51" i="5"/>
  <c r="E50" i="5"/>
  <c r="E49" i="5"/>
  <c r="E48" i="5"/>
  <c r="E47" i="5"/>
  <c r="E46" i="5"/>
  <c r="E45" i="5"/>
  <c r="E38" i="5"/>
  <c r="E28" i="5"/>
  <c r="D27" i="5"/>
  <c r="E27" i="5" s="1"/>
  <c r="H26" i="5"/>
  <c r="H27" i="5" s="1"/>
  <c r="D26" i="5"/>
  <c r="E26" i="5" s="1"/>
  <c r="D25" i="5"/>
  <c r="E25" i="5" s="1"/>
  <c r="D24" i="5"/>
  <c r="E24" i="5" s="1"/>
  <c r="D23" i="5"/>
  <c r="E23" i="5" s="1"/>
  <c r="H22" i="5"/>
  <c r="G75" i="5" s="1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19" i="1"/>
  <c r="E20" i="1"/>
  <c r="E21" i="1"/>
  <c r="E22" i="1"/>
  <c r="E23" i="1"/>
  <c r="E24" i="1"/>
  <c r="E39" i="5" l="1"/>
  <c r="E28" i="1"/>
  <c r="K9" i="5" l="1"/>
  <c r="E71" i="5"/>
  <c r="E73" i="5" s="1"/>
  <c r="K10" i="5"/>
  <c r="K8" i="5"/>
  <c r="J10" i="5"/>
  <c r="J8" i="5"/>
  <c r="I10" i="5"/>
  <c r="I8" i="5"/>
  <c r="J9" i="5"/>
  <c r="I9" i="5"/>
  <c r="E10" i="1"/>
  <c r="D27" i="1" l="1"/>
  <c r="E27" i="1" s="1"/>
  <c r="D26" i="1"/>
  <c r="E26" i="1" s="1"/>
  <c r="D24" i="1"/>
  <c r="D23" i="1"/>
  <c r="D25" i="1" l="1"/>
  <c r="E25" i="1" s="1"/>
  <c r="E17" i="1" l="1"/>
  <c r="E12" i="1" l="1"/>
  <c r="E39" i="1" l="1"/>
  <c r="E40" i="1" l="1"/>
  <c r="E56" i="1" l="1"/>
  <c r="E16" i="1" l="1"/>
  <c r="H26" i="1"/>
  <c r="H27" i="1" s="1"/>
  <c r="H22" i="1"/>
  <c r="G59" i="1" s="1"/>
  <c r="E15" i="1" l="1"/>
  <c r="E14" i="1"/>
  <c r="E18" i="1"/>
  <c r="E44" i="1"/>
  <c r="E43" i="1"/>
  <c r="E9" i="1"/>
  <c r="E38" i="1"/>
  <c r="E13" i="1"/>
  <c r="E46" i="1"/>
  <c r="E36" i="1"/>
  <c r="E37" i="1"/>
  <c r="E41" i="1"/>
  <c r="E42" i="1"/>
  <c r="E11" i="1"/>
  <c r="E6" i="1"/>
  <c r="E7" i="1"/>
  <c r="E8" i="1"/>
  <c r="E29" i="1"/>
  <c r="D52" i="1"/>
  <c r="E52" i="1" s="1"/>
  <c r="D53" i="1"/>
  <c r="E53" i="1" s="1"/>
  <c r="D51" i="1"/>
  <c r="E51" i="1" s="1"/>
  <c r="B30" i="1" l="1"/>
  <c r="E30" i="1" s="1"/>
  <c r="E31" i="1" s="1"/>
  <c r="E45" i="1" l="1"/>
  <c r="E47" i="1" s="1"/>
  <c r="I9" i="1" l="1"/>
  <c r="I8" i="1"/>
  <c r="I10" i="1"/>
  <c r="E55" i="1"/>
  <c r="E57" i="1" s="1"/>
  <c r="J10" i="1"/>
  <c r="K8" i="1"/>
  <c r="K9" i="1"/>
  <c r="K10" i="1"/>
  <c r="J8" i="1"/>
  <c r="J9" i="1"/>
</calcChain>
</file>

<file path=xl/sharedStrings.xml><?xml version="1.0" encoding="utf-8"?>
<sst xmlns="http://schemas.openxmlformats.org/spreadsheetml/2006/main" count="282" uniqueCount="104">
  <si>
    <t>SEEDLESS WATERMELONS ON PLASTIC MULCH W/ DRIP IRRIGATION</t>
  </si>
  <si>
    <t>University of Delaware Cooperative Extension Vegetable Crop Budget-2017</t>
  </si>
  <si>
    <t>Estimated Costs - Do not make changes here.</t>
  </si>
  <si>
    <t>VARIABLE COSTS</t>
  </si>
  <si>
    <t>Returns Based On Example Costs</t>
  </si>
  <si>
    <t>Input/Item</t>
  </si>
  <si>
    <t>Unit</t>
  </si>
  <si>
    <t>Price/Unit</t>
  </si>
  <si>
    <t>Units/A</t>
  </si>
  <si>
    <t>Cost/Acre</t>
  </si>
  <si>
    <t>Price Assumptions $/lb</t>
  </si>
  <si>
    <t>Nitrogen</t>
  </si>
  <si>
    <t>lbs</t>
  </si>
  <si>
    <t>High</t>
  </si>
  <si>
    <t>Average</t>
  </si>
  <si>
    <t>Low</t>
  </si>
  <si>
    <t>Phosphorous</t>
  </si>
  <si>
    <t>Yield Assumptions (lbs)</t>
  </si>
  <si>
    <t>Potassium</t>
  </si>
  <si>
    <t>Excellent</t>
  </si>
  <si>
    <t>Lime (prorated over 3 years)</t>
  </si>
  <si>
    <t>ton</t>
  </si>
  <si>
    <t>Expected</t>
  </si>
  <si>
    <t>Plastic Mulch</t>
  </si>
  <si>
    <t>foot</t>
  </si>
  <si>
    <t>Poor</t>
  </si>
  <si>
    <t>Seedless Watermelon Seed</t>
  </si>
  <si>
    <t>thousand</t>
  </si>
  <si>
    <t>Pollenizer Watermelon Seed</t>
  </si>
  <si>
    <t>Marketing Comission Fee:</t>
  </si>
  <si>
    <t>Laying Mulch</t>
  </si>
  <si>
    <t>acre</t>
  </si>
  <si>
    <t>Commision fee at Laurel Auction is 3.5%</t>
  </si>
  <si>
    <t>Planting Labor</t>
  </si>
  <si>
    <t>hour</t>
  </si>
  <si>
    <t>Transplant Production</t>
  </si>
  <si>
    <t>72-cell tray</t>
  </si>
  <si>
    <t>Mowing Vines</t>
  </si>
  <si>
    <t xml:space="preserve">Field Description: This information is used to determine the number of  </t>
  </si>
  <si>
    <t>Lifting Mulch</t>
  </si>
  <si>
    <t>transplants, yards of plastic mulch, and the amount of herbicide applied.</t>
  </si>
  <si>
    <t>Removing Mulch</t>
  </si>
  <si>
    <t xml:space="preserve">Rows are on </t>
  </si>
  <si>
    <t>foot centers</t>
  </si>
  <si>
    <t>Mulch Disposal</t>
  </si>
  <si>
    <t>There are</t>
  </si>
  <si>
    <r>
      <t>Herbicide - Gramoxone Inteon</t>
    </r>
    <r>
      <rPr>
        <vertAlign val="superscript"/>
        <sz val="10"/>
        <rFont val="Calibri"/>
        <family val="2"/>
      </rPr>
      <t>1</t>
    </r>
  </si>
  <si>
    <t xml:space="preserve">Seeded pollenizers planted </t>
  </si>
  <si>
    <t>between</t>
  </si>
  <si>
    <t>seedless plants in the row.</t>
  </si>
  <si>
    <t>ounce</t>
  </si>
  <si>
    <t>Ratio of</t>
  </si>
  <si>
    <t>pollenizer per</t>
  </si>
  <si>
    <t xml:space="preserve">seedless </t>
  </si>
  <si>
    <t>pint</t>
  </si>
  <si>
    <t>seedless plants per acre</t>
  </si>
  <si>
    <t>pollenizers per acre</t>
  </si>
  <si>
    <t>Insecticide-Oberon</t>
  </si>
  <si>
    <t>Bee Rental</t>
  </si>
  <si>
    <t>colony</t>
  </si>
  <si>
    <r>
      <t>Interest on Variable Costs</t>
    </r>
    <r>
      <rPr>
        <vertAlign val="superscript"/>
        <sz val="10"/>
        <rFont val="Calibri"/>
        <family val="2"/>
      </rPr>
      <t>2</t>
    </r>
  </si>
  <si>
    <t>Total Variable Costs</t>
  </si>
  <si>
    <t>FIXED COSTS (custom rates are used as a proxy for field operation costs)</t>
  </si>
  <si>
    <r>
      <t xml:space="preserve">Applying Fertilizer </t>
    </r>
    <r>
      <rPr>
        <b/>
        <sz val="10"/>
        <rFont val="Calibri"/>
        <family val="2"/>
      </rPr>
      <t>Broadcast</t>
    </r>
  </si>
  <si>
    <t>application</t>
  </si>
  <si>
    <r>
      <t xml:space="preserve">Applying Chemicals </t>
    </r>
    <r>
      <rPr>
        <b/>
        <sz val="10"/>
        <rFont val="Calibri"/>
        <family val="2"/>
      </rPr>
      <t>Ground</t>
    </r>
  </si>
  <si>
    <r>
      <t xml:space="preserve">Applying Chemicals </t>
    </r>
    <r>
      <rPr>
        <b/>
        <sz val="10"/>
        <rFont val="Calibri"/>
        <family val="2"/>
      </rPr>
      <t>Aerial</t>
    </r>
  </si>
  <si>
    <t>Hooded Sprayer</t>
  </si>
  <si>
    <t>Tillage/Chisel</t>
  </si>
  <si>
    <t>(Custom rate for vertical tillage is $18.55, custom rate for moldboard is $24.67)</t>
  </si>
  <si>
    <t>Disk &amp; Harrowing</t>
  </si>
  <si>
    <t>acre-inch</t>
  </si>
  <si>
    <t>Total Fixed Costs</t>
  </si>
  <si>
    <t>Yield Dependent Costs</t>
  </si>
  <si>
    <t>Harvest Cost at Excellent Yield</t>
  </si>
  <si>
    <t>lb</t>
  </si>
  <si>
    <t>Harvest Cost at Expected Yield</t>
  </si>
  <si>
    <t>Harvest Cost at Poor Yield</t>
  </si>
  <si>
    <t>Total Cash Costs at Expected Yield</t>
  </si>
  <si>
    <t>Expected Returns (price x yield)</t>
  </si>
  <si>
    <t>Net Available for Rent or Land Payment</t>
  </si>
  <si>
    <t xml:space="preserve">Irrigation Fixed costs include the cost of drip tape, layflat, fittings, pump, manifold, and installation labor.  </t>
  </si>
  <si>
    <t>Actual Costs - Enter your actual costs in the yellow-highlighted cells.</t>
  </si>
  <si>
    <t>Returns Based On Actual Costs</t>
  </si>
  <si>
    <r>
      <t>Herbicide - Sandea</t>
    </r>
    <r>
      <rPr>
        <vertAlign val="superscript"/>
        <sz val="10"/>
        <rFont val="Calibri"/>
        <family val="2"/>
      </rPr>
      <t>1</t>
    </r>
  </si>
  <si>
    <t>feet between plants in the row</t>
  </si>
  <si>
    <t>*Enter either "between" or "in place of" in the yellow-highlighted box.</t>
  </si>
  <si>
    <t>of the broadcast acre rate.</t>
  </si>
  <si>
    <t>mulched feet/acre</t>
  </si>
  <si>
    <t>Sulfur</t>
  </si>
  <si>
    <t>Transplanter Operation</t>
  </si>
  <si>
    <t>Harvest Labor</t>
  </si>
  <si>
    <t>Fungicide-Zampro</t>
  </si>
  <si>
    <t>Fungicide-Manzate</t>
  </si>
  <si>
    <t>Insecticide - Admire</t>
  </si>
  <si>
    <t>Fungicide - Bravo</t>
  </si>
  <si>
    <t>Insecticide - Portal</t>
  </si>
  <si>
    <r>
      <t>Herbicide-Dual Magnum</t>
    </r>
    <r>
      <rPr>
        <vertAlign val="superscript"/>
        <sz val="10"/>
        <rFont val="Calibri"/>
        <family val="2"/>
      </rPr>
      <t>1</t>
    </r>
  </si>
  <si>
    <r>
      <t>Fixed Irrigation Costs</t>
    </r>
    <r>
      <rPr>
        <vertAlign val="superscript"/>
        <sz val="10"/>
        <rFont val="Calibri"/>
        <family val="2"/>
      </rPr>
      <t>3</t>
    </r>
  </si>
  <si>
    <r>
      <t>Irrigation Operating Costs</t>
    </r>
    <r>
      <rPr>
        <vertAlign val="superscript"/>
        <sz val="10"/>
        <rFont val="Calibri"/>
        <family val="2"/>
      </rPr>
      <t>3</t>
    </r>
  </si>
  <si>
    <r>
      <t>3</t>
    </r>
    <r>
      <rPr>
        <sz val="10"/>
        <rFont val="Calibri"/>
        <family val="2"/>
      </rPr>
      <t xml:space="preserve"> Irrigation costs are highly variable depending on the size of the system and the cost of the system components.</t>
    </r>
  </si>
  <si>
    <r>
      <t>2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</si>
  <si>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r>
      <t>acres unmulched/A</t>
    </r>
    <r>
      <rPr>
        <vertAlign val="superscript"/>
        <sz val="10"/>
        <rFont val="Calibri"/>
        <family val="2"/>
      </rPr>
      <t>1</t>
    </r>
  </si>
  <si>
    <r>
      <t xml:space="preserve">1 </t>
    </r>
    <r>
      <rPr>
        <sz val="10"/>
        <rFont val="Calibri"/>
        <family val="2"/>
      </rPr>
      <t>Herbicides applied with hooded sprayer between plastic beds. Calculate rate 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</si>
</sst>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&quot;$&quot;#,##0.00"/>
    <numFmt numFmtId="165" formatCode="0.000"/>
    <numFmt numFmtId="166" formatCode="0.0%"/>
    <numFmt numFmtId="167" formatCode="&quot;$&quot;#,##0.000"/>
  </numFmts>
  <fonts count="15" x14ac:knownFonts="1">
    <font>
      <sz val="10"/>
      <name val="Arial"/>
    </font>
    <font>
      <sz val="8"/>
      <name val="Arial"/>
      <family val="2"/>
    </font>
    <font>
      <b/>
      <u/>
      <sz val="12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3" fillId="0" borderId="0" xfId="0" applyFont="1" applyBorder="1"/>
    <xf numFmtId="0" fontId="7" fillId="0" borderId="0" xfId="0" applyFont="1" applyBorder="1"/>
    <xf numFmtId="164" fontId="6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164" fontId="5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Protection="1">
      <protection locked="0"/>
    </xf>
    <xf numFmtId="164" fontId="3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9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0" fontId="10" fillId="2" borderId="0" xfId="0" applyFont="1" applyFill="1" applyBorder="1"/>
    <xf numFmtId="0" fontId="3" fillId="0" borderId="1" xfId="0" applyFont="1" applyBorder="1"/>
    <xf numFmtId="164" fontId="3" fillId="0" borderId="1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0" fontId="6" fillId="4" borderId="3" xfId="0" applyFont="1" applyFill="1" applyBorder="1"/>
    <xf numFmtId="0" fontId="10" fillId="2" borderId="4" xfId="0" applyFont="1" applyFill="1" applyBorder="1"/>
    <xf numFmtId="0" fontId="9" fillId="2" borderId="5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/>
    <xf numFmtId="0" fontId="3" fillId="0" borderId="6" xfId="0" applyFont="1" applyBorder="1"/>
    <xf numFmtId="164" fontId="3" fillId="0" borderId="7" xfId="0" applyNumberFormat="1" applyFont="1" applyFill="1" applyBorder="1" applyAlignment="1">
      <alignment horizontal="center"/>
    </xf>
    <xf numFmtId="0" fontId="7" fillId="0" borderId="6" xfId="0" applyFont="1" applyBorder="1"/>
    <xf numFmtId="164" fontId="6" fillId="5" borderId="7" xfId="0" applyNumberFormat="1" applyFont="1" applyFill="1" applyBorder="1" applyAlignment="1">
      <alignment horizontal="center"/>
    </xf>
    <xf numFmtId="0" fontId="11" fillId="0" borderId="0" xfId="0" applyFont="1" applyBorder="1"/>
    <xf numFmtId="0" fontId="6" fillId="3" borderId="3" xfId="0" applyFont="1" applyFill="1" applyBorder="1" applyAlignment="1">
      <alignment horizontal="right"/>
    </xf>
    <xf numFmtId="0" fontId="3" fillId="3" borderId="6" xfId="0" applyFont="1" applyFill="1" applyBorder="1"/>
    <xf numFmtId="164" fontId="3" fillId="3" borderId="7" xfId="0" applyNumberFormat="1" applyFont="1" applyFill="1" applyBorder="1"/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6" xfId="0" applyFont="1" applyFill="1" applyBorder="1"/>
    <xf numFmtId="0" fontId="12" fillId="2" borderId="6" xfId="0" applyFont="1" applyFill="1" applyBorder="1"/>
    <xf numFmtId="164" fontId="3" fillId="0" borderId="1" xfId="0" applyNumberFormat="1" applyFont="1" applyFill="1" applyBorder="1"/>
    <xf numFmtId="0" fontId="13" fillId="0" borderId="0" xfId="0" applyFont="1" applyBorder="1"/>
    <xf numFmtId="0" fontId="6" fillId="0" borderId="0" xfId="0" applyFont="1" applyFill="1" applyBorder="1" applyAlignment="1">
      <alignment horizontal="right"/>
    </xf>
    <xf numFmtId="164" fontId="3" fillId="0" borderId="0" xfId="0" applyNumberFormat="1" applyFont="1" applyFill="1" applyBorder="1"/>
    <xf numFmtId="0" fontId="3" fillId="0" borderId="0" xfId="0" applyFont="1" applyFill="1" applyBorder="1" applyProtection="1">
      <protection locked="0"/>
    </xf>
    <xf numFmtId="3" fontId="3" fillId="0" borderId="1" xfId="0" applyNumberFormat="1" applyFont="1" applyBorder="1"/>
    <xf numFmtId="0" fontId="3" fillId="0" borderId="1" xfId="0" applyFont="1" applyFill="1" applyBorder="1"/>
    <xf numFmtId="166" fontId="6" fillId="0" borderId="0" xfId="0" applyNumberFormat="1" applyFont="1" applyBorder="1" applyAlignment="1">
      <alignment horizontal="center"/>
    </xf>
    <xf numFmtId="0" fontId="3" fillId="3" borderId="0" xfId="0" applyFont="1" applyFill="1" applyBorder="1"/>
    <xf numFmtId="165" fontId="6" fillId="3" borderId="0" xfId="0" applyNumberFormat="1" applyFont="1" applyFill="1" applyBorder="1" applyAlignment="1">
      <alignment horizontal="center"/>
    </xf>
    <xf numFmtId="1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5" xfId="0" applyFont="1" applyFill="1" applyBorder="1"/>
    <xf numFmtId="0" fontId="3" fillId="3" borderId="4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12" xfId="0" applyFont="1" applyFill="1" applyBorder="1"/>
    <xf numFmtId="1" fontId="6" fillId="3" borderId="13" xfId="0" applyNumberFormat="1" applyFont="1" applyFill="1" applyBorder="1" applyAlignment="1">
      <alignment horizontal="center"/>
    </xf>
    <xf numFmtId="0" fontId="3" fillId="3" borderId="13" xfId="0" applyFont="1" applyFill="1" applyBorder="1"/>
    <xf numFmtId="0" fontId="3" fillId="3" borderId="14" xfId="0" applyFont="1" applyFill="1" applyBorder="1"/>
    <xf numFmtId="0" fontId="6" fillId="3" borderId="9" xfId="0" applyFont="1" applyFill="1" applyBorder="1"/>
    <xf numFmtId="0" fontId="6" fillId="3" borderId="10" xfId="0" applyFont="1" applyFill="1" applyBorder="1" applyAlignment="1">
      <alignment horizontal="right"/>
    </xf>
    <xf numFmtId="10" fontId="3" fillId="3" borderId="11" xfId="0" applyNumberFormat="1" applyFont="1" applyFill="1" applyBorder="1"/>
    <xf numFmtId="0" fontId="6" fillId="3" borderId="10" xfId="0" applyFont="1" applyFill="1" applyBorder="1" applyAlignment="1">
      <alignment horizontal="center"/>
    </xf>
    <xf numFmtId="1" fontId="3" fillId="0" borderId="1" xfId="0" applyNumberFormat="1" applyFont="1" applyFill="1" applyBorder="1"/>
    <xf numFmtId="3" fontId="6" fillId="0" borderId="0" xfId="0" applyNumberFormat="1" applyFont="1" applyFill="1" applyBorder="1"/>
    <xf numFmtId="9" fontId="3" fillId="0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0" fontId="10" fillId="0" borderId="0" xfId="0" applyFont="1" applyFill="1" applyBorder="1"/>
    <xf numFmtId="1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7" fontId="3" fillId="0" borderId="1" xfId="0" applyNumberFormat="1" applyFont="1" applyFill="1" applyBorder="1"/>
    <xf numFmtId="164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/>
    </xf>
    <xf numFmtId="3" fontId="6" fillId="0" borderId="7" xfId="0" applyNumberFormat="1" applyFont="1" applyFill="1" applyBorder="1"/>
    <xf numFmtId="8" fontId="6" fillId="0" borderId="8" xfId="0" applyNumberFormat="1" applyFont="1" applyFill="1" applyBorder="1" applyAlignment="1">
      <alignment horizontal="center"/>
    </xf>
    <xf numFmtId="164" fontId="6" fillId="0" borderId="8" xfId="0" applyNumberFormat="1" applyFont="1" applyFill="1" applyBorder="1" applyAlignment="1">
      <alignment horizontal="center"/>
    </xf>
    <xf numFmtId="0" fontId="11" fillId="0" borderId="0" xfId="0" applyFont="1" applyFill="1" applyBorder="1"/>
    <xf numFmtId="10" fontId="3" fillId="0" borderId="1" xfId="0" applyNumberFormat="1" applyFont="1" applyFill="1" applyBorder="1"/>
    <xf numFmtId="0" fontId="8" fillId="0" borderId="0" xfId="0" applyFont="1" applyBorder="1" applyProtection="1"/>
    <xf numFmtId="0" fontId="2" fillId="0" borderId="0" xfId="0" applyFont="1" applyBorder="1" applyProtection="1"/>
    <xf numFmtId="0" fontId="6" fillId="0" borderId="0" xfId="0" applyFont="1" applyFill="1" applyBorder="1" applyProtection="1"/>
    <xf numFmtId="0" fontId="3" fillId="0" borderId="0" xfId="0" applyFont="1" applyBorder="1" applyProtection="1"/>
    <xf numFmtId="0" fontId="13" fillId="0" borderId="0" xfId="0" applyFont="1" applyBorder="1" applyProtection="1"/>
    <xf numFmtId="0" fontId="4" fillId="0" borderId="0" xfId="0" applyFont="1" applyBorder="1" applyProtection="1"/>
    <xf numFmtId="0" fontId="9" fillId="2" borderId="0" xfId="0" applyFont="1" applyFill="1" applyBorder="1" applyProtection="1"/>
    <xf numFmtId="0" fontId="4" fillId="2" borderId="0" xfId="0" applyFont="1" applyFill="1" applyBorder="1" applyProtection="1"/>
    <xf numFmtId="0" fontId="3" fillId="2" borderId="0" xfId="0" applyFont="1" applyFill="1" applyBorder="1" applyProtection="1"/>
    <xf numFmtId="0" fontId="3" fillId="0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Font="1" applyFill="1" applyBorder="1" applyProtection="1"/>
    <xf numFmtId="0" fontId="6" fillId="3" borderId="1" xfId="0" applyFont="1" applyFill="1" applyBorder="1" applyProtection="1"/>
    <xf numFmtId="164" fontId="6" fillId="3" borderId="1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10" fillId="2" borderId="0" xfId="0" applyFont="1" applyFill="1" applyBorder="1" applyProtection="1"/>
    <xf numFmtId="0" fontId="9" fillId="2" borderId="0" xfId="0" applyFont="1" applyFill="1" applyBorder="1" applyAlignment="1" applyProtection="1">
      <alignment horizontal="center"/>
    </xf>
    <xf numFmtId="0" fontId="10" fillId="2" borderId="4" xfId="0" applyFont="1" applyFill="1" applyBorder="1" applyProtection="1"/>
    <xf numFmtId="0" fontId="5" fillId="0" borderId="0" xfId="0" applyFont="1" applyBorder="1" applyProtection="1"/>
    <xf numFmtId="0" fontId="3" fillId="0" borderId="1" xfId="0" applyFont="1" applyFill="1" applyBorder="1" applyProtection="1"/>
    <xf numFmtId="164" fontId="3" fillId="0" borderId="1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0" fontId="6" fillId="4" borderId="2" xfId="0" applyFont="1" applyFill="1" applyBorder="1" applyAlignment="1" applyProtection="1">
      <alignment horizontal="center"/>
    </xf>
    <xf numFmtId="164" fontId="6" fillId="4" borderId="2" xfId="0" applyNumberFormat="1" applyFont="1" applyFill="1" applyBorder="1" applyAlignment="1" applyProtection="1">
      <alignment horizontal="center"/>
    </xf>
    <xf numFmtId="0" fontId="9" fillId="2" borderId="5" xfId="0" applyFont="1" applyFill="1" applyBorder="1" applyProtection="1"/>
    <xf numFmtId="0" fontId="6" fillId="4" borderId="3" xfId="0" applyFont="1" applyFill="1" applyBorder="1" applyProtection="1"/>
    <xf numFmtId="3" fontId="6" fillId="0" borderId="0" xfId="0" applyNumberFormat="1" applyFont="1" applyFill="1" applyBorder="1" applyProtection="1"/>
    <xf numFmtId="0" fontId="6" fillId="3" borderId="9" xfId="0" applyFont="1" applyFill="1" applyBorder="1" applyProtection="1"/>
    <xf numFmtId="0" fontId="6" fillId="3" borderId="10" xfId="0" applyFont="1" applyFill="1" applyBorder="1" applyAlignment="1" applyProtection="1">
      <alignment horizontal="right"/>
    </xf>
    <xf numFmtId="0" fontId="3" fillId="3" borderId="12" xfId="0" applyFont="1" applyFill="1" applyBorder="1" applyProtection="1"/>
    <xf numFmtId="0" fontId="3" fillId="3" borderId="13" xfId="0" applyFont="1" applyFill="1" applyBorder="1" applyProtection="1"/>
    <xf numFmtId="0" fontId="3" fillId="3" borderId="14" xfId="0" applyFont="1" applyFill="1" applyBorder="1" applyProtection="1"/>
    <xf numFmtId="9" fontId="3" fillId="0" borderId="0" xfId="0" applyNumberFormat="1" applyFont="1" applyFill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right"/>
    </xf>
    <xf numFmtId="0" fontId="3" fillId="3" borderId="10" xfId="0" applyFont="1" applyFill="1" applyBorder="1" applyProtection="1"/>
    <xf numFmtId="0" fontId="3" fillId="3" borderId="11" xfId="0" applyFont="1" applyFill="1" applyBorder="1" applyProtection="1"/>
    <xf numFmtId="0" fontId="3" fillId="3" borderId="5" xfId="0" applyFont="1" applyFill="1" applyBorder="1" applyProtection="1"/>
    <xf numFmtId="0" fontId="3" fillId="3" borderId="0" xfId="0" applyFont="1" applyFill="1" applyBorder="1" applyProtection="1"/>
    <xf numFmtId="0" fontId="3" fillId="3" borderId="4" xfId="0" applyFont="1" applyFill="1" applyBorder="1" applyProtection="1"/>
    <xf numFmtId="165" fontId="6" fillId="3" borderId="0" xfId="0" applyNumberFormat="1" applyFont="1" applyFill="1" applyBorder="1" applyAlignment="1" applyProtection="1">
      <alignment horizontal="center"/>
    </xf>
    <xf numFmtId="1" fontId="6" fillId="3" borderId="0" xfId="0" applyNumberFormat="1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1" fontId="6" fillId="3" borderId="13" xfId="0" applyNumberFormat="1" applyFont="1" applyFill="1" applyBorder="1" applyAlignment="1" applyProtection="1">
      <alignment horizontal="center"/>
    </xf>
    <xf numFmtId="0" fontId="10" fillId="0" borderId="0" xfId="0" applyFont="1" applyFill="1" applyBorder="1" applyProtection="1"/>
    <xf numFmtId="0" fontId="9" fillId="0" borderId="0" xfId="0" applyFont="1" applyFill="1" applyBorder="1" applyProtection="1"/>
    <xf numFmtId="164" fontId="3" fillId="0" borderId="1" xfId="0" applyNumberFormat="1" applyFont="1" applyFill="1" applyBorder="1" applyProtection="1"/>
    <xf numFmtId="164" fontId="14" fillId="0" borderId="0" xfId="0" applyNumberFormat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right"/>
    </xf>
    <xf numFmtId="0" fontId="3" fillId="3" borderId="6" xfId="0" applyFont="1" applyFill="1" applyBorder="1" applyProtection="1"/>
    <xf numFmtId="164" fontId="3" fillId="3" borderId="7" xfId="0" applyNumberFormat="1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1" fontId="6" fillId="0" borderId="0" xfId="0" applyNumberFormat="1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164" fontId="3" fillId="0" borderId="0" xfId="0" applyNumberFormat="1" applyFont="1" applyBorder="1" applyProtection="1"/>
    <xf numFmtId="0" fontId="6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Border="1" applyProtection="1"/>
    <xf numFmtId="0" fontId="3" fillId="0" borderId="1" xfId="0" applyFont="1" applyBorder="1" applyProtection="1"/>
    <xf numFmtId="3" fontId="3" fillId="0" borderId="1" xfId="0" applyNumberFormat="1" applyFont="1" applyBorder="1" applyProtection="1"/>
    <xf numFmtId="0" fontId="10" fillId="2" borderId="3" xfId="0" applyFont="1" applyFill="1" applyBorder="1" applyProtection="1"/>
    <xf numFmtId="0" fontId="10" fillId="2" borderId="6" xfId="0" applyFont="1" applyFill="1" applyBorder="1" applyProtection="1"/>
    <xf numFmtId="0" fontId="3" fillId="0" borderId="6" xfId="0" applyFont="1" applyBorder="1" applyProtection="1"/>
    <xf numFmtId="164" fontId="3" fillId="0" borderId="7" xfId="0" applyNumberFormat="1" applyFont="1" applyFill="1" applyBorder="1" applyAlignment="1" applyProtection="1">
      <alignment horizontal="center"/>
    </xf>
    <xf numFmtId="0" fontId="12" fillId="2" borderId="6" xfId="0" applyFont="1" applyFill="1" applyBorder="1" applyProtection="1"/>
    <xf numFmtId="0" fontId="7" fillId="0" borderId="6" xfId="0" applyFont="1" applyBorder="1" applyProtection="1"/>
    <xf numFmtId="164" fontId="6" fillId="5" borderId="7" xfId="0" applyNumberFormat="1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166" fontId="6" fillId="0" borderId="0" xfId="0" applyNumberFormat="1" applyFont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0" fontId="11" fillId="0" borderId="0" xfId="0" applyFont="1" applyBorder="1" applyProtection="1"/>
    <xf numFmtId="0" fontId="7" fillId="0" borderId="0" xfId="0" applyFont="1" applyBorder="1" applyProtection="1"/>
    <xf numFmtId="164" fontId="3" fillId="6" borderId="1" xfId="0" applyNumberFormat="1" applyFont="1" applyFill="1" applyBorder="1" applyProtection="1">
      <protection locked="0"/>
    </xf>
    <xf numFmtId="0" fontId="3" fillId="6" borderId="1" xfId="0" applyFont="1" applyFill="1" applyBorder="1" applyProtection="1">
      <protection locked="0"/>
    </xf>
    <xf numFmtId="1" fontId="3" fillId="6" borderId="1" xfId="0" applyNumberFormat="1" applyFont="1" applyFill="1" applyBorder="1" applyProtection="1">
      <protection locked="0"/>
    </xf>
    <xf numFmtId="10" fontId="3" fillId="6" borderId="1" xfId="0" applyNumberFormat="1" applyFont="1" applyFill="1" applyBorder="1" applyProtection="1">
      <protection locked="0"/>
    </xf>
    <xf numFmtId="3" fontId="6" fillId="6" borderId="7" xfId="0" applyNumberFormat="1" applyFont="1" applyFill="1" applyBorder="1" applyProtection="1">
      <protection locked="0"/>
    </xf>
    <xf numFmtId="8" fontId="6" fillId="6" borderId="8" xfId="0" applyNumberFormat="1" applyFont="1" applyFill="1" applyBorder="1" applyAlignment="1" applyProtection="1">
      <alignment horizontal="center"/>
      <protection locked="0"/>
    </xf>
    <xf numFmtId="164" fontId="6" fillId="6" borderId="8" xfId="0" applyNumberFormat="1" applyFont="1" applyFill="1" applyBorder="1" applyAlignment="1" applyProtection="1">
      <alignment horizontal="center"/>
      <protection locked="0"/>
    </xf>
    <xf numFmtId="10" fontId="3" fillId="6" borderId="11" xfId="0" applyNumberFormat="1" applyFont="1" applyFill="1" applyBorder="1" applyProtection="1">
      <protection locked="0"/>
    </xf>
    <xf numFmtId="0" fontId="6" fillId="6" borderId="10" xfId="0" applyFont="1" applyFill="1" applyBorder="1" applyAlignment="1" applyProtection="1">
      <alignment horizontal="center"/>
      <protection locked="0"/>
    </xf>
    <xf numFmtId="0" fontId="6" fillId="6" borderId="0" xfId="0" applyFont="1" applyFill="1" applyBorder="1" applyAlignment="1" applyProtection="1">
      <alignment horizontal="center"/>
      <protection locked="0"/>
    </xf>
    <xf numFmtId="167" fontId="3" fillId="6" borderId="1" xfId="0" applyNumberFormat="1" applyFont="1" applyFill="1" applyBorder="1" applyProtection="1">
      <protection locked="0"/>
    </xf>
    <xf numFmtId="164" fontId="3" fillId="0" borderId="0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abSelected="1" zoomScaleNormal="100" workbookViewId="0">
      <selection activeCell="H55" sqref="H55"/>
    </sheetView>
  </sheetViews>
  <sheetFormatPr defaultColWidth="9.109375" defaultRowHeight="13.8" x14ac:dyDescent="0.3"/>
  <cols>
    <col min="1" max="1" width="27.5546875" style="1" customWidth="1"/>
    <col min="2" max="2" width="10.109375" style="1" customWidth="1"/>
    <col min="3" max="3" width="9.5546875" style="1" customWidth="1"/>
    <col min="4" max="4" width="8.33203125" style="1" customWidth="1"/>
    <col min="5" max="5" width="11.109375" style="1" customWidth="1"/>
    <col min="6" max="6" width="4" style="1" customWidth="1"/>
    <col min="7" max="7" width="10.44140625" style="1" customWidth="1"/>
    <col min="8" max="8" width="11.44140625" style="1" customWidth="1"/>
    <col min="9" max="11" width="13.33203125" style="1" customWidth="1"/>
    <col min="12" max="16384" width="9.109375" style="1"/>
  </cols>
  <sheetData>
    <row r="1" spans="1:12" ht="15.6" x14ac:dyDescent="0.3">
      <c r="A1" s="4" t="s">
        <v>0</v>
      </c>
      <c r="B1" s="5"/>
      <c r="C1" s="26"/>
      <c r="D1" s="5"/>
    </row>
    <row r="2" spans="1:12" ht="15.6" x14ac:dyDescent="0.3">
      <c r="A2" s="43" t="s">
        <v>1</v>
      </c>
      <c r="B2" s="5"/>
      <c r="C2" s="5"/>
      <c r="D2" s="5"/>
    </row>
    <row r="3" spans="1:12" ht="15.6" x14ac:dyDescent="0.3">
      <c r="A3" s="4" t="s">
        <v>2</v>
      </c>
      <c r="B3" s="6"/>
      <c r="D3" s="5"/>
    </row>
    <row r="4" spans="1:12" ht="15.6" x14ac:dyDescent="0.3">
      <c r="A4" s="13" t="s">
        <v>3</v>
      </c>
      <c r="B4" s="14"/>
      <c r="C4" s="14"/>
      <c r="D4" s="14"/>
      <c r="E4" s="15"/>
      <c r="G4" s="25"/>
      <c r="I4" s="27" t="s">
        <v>4</v>
      </c>
      <c r="J4" s="28"/>
      <c r="K4" s="28"/>
    </row>
    <row r="5" spans="1:12" s="7" customFormat="1" x14ac:dyDescent="0.3">
      <c r="A5" s="37" t="s">
        <v>5</v>
      </c>
      <c r="B5" s="37" t="s">
        <v>6</v>
      </c>
      <c r="C5" s="37" t="s">
        <v>7</v>
      </c>
      <c r="D5" s="37" t="s">
        <v>8</v>
      </c>
      <c r="E5" s="38" t="s">
        <v>9</v>
      </c>
      <c r="F5" s="8"/>
      <c r="G5" s="25"/>
      <c r="H5" s="25"/>
      <c r="I5" s="16"/>
      <c r="J5" s="19" t="s">
        <v>10</v>
      </c>
      <c r="K5" s="23"/>
    </row>
    <row r="6" spans="1:12" x14ac:dyDescent="0.3">
      <c r="A6" s="48" t="s">
        <v>11</v>
      </c>
      <c r="B6" s="48" t="s">
        <v>12</v>
      </c>
      <c r="C6" s="42">
        <v>0.45</v>
      </c>
      <c r="D6" s="48">
        <v>150</v>
      </c>
      <c r="E6" s="18">
        <f t="shared" ref="E6:E10" si="0">(C6*D6)</f>
        <v>67.5</v>
      </c>
      <c r="F6" s="9"/>
      <c r="G6" s="26"/>
      <c r="H6" s="26"/>
      <c r="I6" s="20" t="s">
        <v>13</v>
      </c>
      <c r="J6" s="21" t="s">
        <v>14</v>
      </c>
      <c r="K6" s="20" t="s">
        <v>15</v>
      </c>
    </row>
    <row r="7" spans="1:12" x14ac:dyDescent="0.3">
      <c r="A7" s="48" t="s">
        <v>16</v>
      </c>
      <c r="B7" s="48" t="s">
        <v>12</v>
      </c>
      <c r="C7" s="42">
        <v>0.56000000000000005</v>
      </c>
      <c r="D7" s="48">
        <v>50</v>
      </c>
      <c r="E7" s="18">
        <f t="shared" si="0"/>
        <v>28.000000000000004</v>
      </c>
      <c r="F7" s="9"/>
      <c r="G7" s="24" t="s">
        <v>17</v>
      </c>
      <c r="H7" s="13"/>
      <c r="I7" s="80">
        <v>0.15</v>
      </c>
      <c r="J7" s="81">
        <v>0.12</v>
      </c>
      <c r="K7" s="80">
        <v>0.06</v>
      </c>
    </row>
    <row r="8" spans="1:12" x14ac:dyDescent="0.3">
      <c r="A8" s="48" t="s">
        <v>18</v>
      </c>
      <c r="B8" s="48" t="s">
        <v>12</v>
      </c>
      <c r="C8" s="42">
        <v>0.33</v>
      </c>
      <c r="D8" s="48">
        <v>100</v>
      </c>
      <c r="E8" s="18">
        <f t="shared" si="0"/>
        <v>33</v>
      </c>
      <c r="F8" s="9"/>
      <c r="G8" s="22" t="s">
        <v>19</v>
      </c>
      <c r="H8" s="79">
        <v>80000</v>
      </c>
      <c r="I8" s="18">
        <f>(I7*H8)-$E$31-$E$47-$E51-($I$14*(I7*H8))</f>
        <v>6306.1705374999983</v>
      </c>
      <c r="J8" s="18">
        <f>(J7*H8)-$E$31-$E$47-$E51-($I$14*(J7*H8))</f>
        <v>3906.1705374999997</v>
      </c>
      <c r="K8" s="18">
        <f>(K7*H8)-$E$31-$E$47-$E51-($I$14*(K7*H8))</f>
        <v>-893.82946250000077</v>
      </c>
    </row>
    <row r="9" spans="1:12" x14ac:dyDescent="0.3">
      <c r="A9" s="48" t="s">
        <v>20</v>
      </c>
      <c r="B9" s="48" t="s">
        <v>21</v>
      </c>
      <c r="C9" s="42">
        <v>42</v>
      </c>
      <c r="D9" s="48">
        <v>1</v>
      </c>
      <c r="E9" s="18">
        <f t="shared" si="0"/>
        <v>42</v>
      </c>
      <c r="F9" s="9"/>
      <c r="G9" s="22" t="s">
        <v>22</v>
      </c>
      <c r="H9" s="79">
        <v>60000</v>
      </c>
      <c r="I9" s="18">
        <f>(I7*H9)-$E$31-$E$47-$E52-($I$14*(I7*H9))</f>
        <v>4006.1705375000001</v>
      </c>
      <c r="J9" s="18">
        <f>(J7*H9)-$E$31-$E$47-$E52-($I$14*(J7*H9))</f>
        <v>2206.1705375000001</v>
      </c>
      <c r="K9" s="18">
        <f>(K7*H9)-$E$31-$E$47-$E52-($I$14*(K7*H9))</f>
        <v>-1393.8294625000003</v>
      </c>
    </row>
    <row r="10" spans="1:12" x14ac:dyDescent="0.3">
      <c r="A10" s="48" t="s">
        <v>89</v>
      </c>
      <c r="B10" s="48" t="s">
        <v>12</v>
      </c>
      <c r="C10" s="42">
        <v>0.4</v>
      </c>
      <c r="D10" s="68">
        <v>20</v>
      </c>
      <c r="E10" s="18">
        <f t="shared" si="0"/>
        <v>8</v>
      </c>
      <c r="F10" s="9"/>
      <c r="G10" s="22" t="s">
        <v>25</v>
      </c>
      <c r="H10" s="79">
        <v>40000</v>
      </c>
      <c r="I10" s="18">
        <f>(I7*H10)-$E$31-$E$47-$E53-($I$14*(I7*H10))</f>
        <v>1706.1705374999995</v>
      </c>
      <c r="J10" s="18">
        <f>(J7*H10)-$E$31-$E$47-$E53-($I$14*(J7*H10))</f>
        <v>506.17053749999945</v>
      </c>
      <c r="K10" s="18">
        <f>(K7*H10)-$E$31-$E$47-$E53-($I$14*(K7*H10))</f>
        <v>-1893.8294625000005</v>
      </c>
    </row>
    <row r="11" spans="1:12" x14ac:dyDescent="0.3">
      <c r="A11" s="48" t="s">
        <v>26</v>
      </c>
      <c r="B11" s="48" t="s">
        <v>27</v>
      </c>
      <c r="C11" s="42">
        <v>292.83</v>
      </c>
      <c r="D11" s="48">
        <v>1.9</v>
      </c>
      <c r="E11" s="18">
        <f t="shared" ref="E11:E13" si="1">(C11*D11)</f>
        <v>556.37699999999995</v>
      </c>
      <c r="F11" s="9"/>
      <c r="H11" s="69"/>
      <c r="I11" s="9"/>
      <c r="J11" s="9"/>
      <c r="K11" s="9"/>
    </row>
    <row r="12" spans="1:12" x14ac:dyDescent="0.3">
      <c r="A12" s="48" t="s">
        <v>28</v>
      </c>
      <c r="B12" s="48" t="s">
        <v>27</v>
      </c>
      <c r="C12" s="42">
        <v>181.21</v>
      </c>
      <c r="D12" s="48">
        <v>0.5</v>
      </c>
      <c r="E12" s="18">
        <f t="shared" ref="E12" si="2">(C12*D12)</f>
        <v>90.605000000000004</v>
      </c>
      <c r="F12" s="9"/>
      <c r="G12" s="26"/>
      <c r="H12" s="69"/>
      <c r="I12" s="9"/>
      <c r="J12" s="9"/>
      <c r="K12" s="9"/>
    </row>
    <row r="13" spans="1:12" x14ac:dyDescent="0.3">
      <c r="A13" s="48" t="s">
        <v>23</v>
      </c>
      <c r="B13" s="48" t="s">
        <v>24</v>
      </c>
      <c r="C13" s="42">
        <v>7.0000000000000007E-2</v>
      </c>
      <c r="D13" s="48">
        <v>7260</v>
      </c>
      <c r="E13" s="18">
        <f t="shared" si="1"/>
        <v>508.20000000000005</v>
      </c>
      <c r="F13" s="9"/>
      <c r="G13" s="25"/>
      <c r="H13" s="25"/>
    </row>
    <row r="14" spans="1:12" x14ac:dyDescent="0.3">
      <c r="A14" s="48" t="s">
        <v>30</v>
      </c>
      <c r="B14" s="48" t="s">
        <v>31</v>
      </c>
      <c r="C14" s="42">
        <v>135</v>
      </c>
      <c r="D14" s="48">
        <v>1</v>
      </c>
      <c r="E14" s="18">
        <f t="shared" ref="E14:E15" si="3">C14*D14</f>
        <v>135</v>
      </c>
      <c r="F14" s="9"/>
      <c r="G14" s="64"/>
      <c r="H14" s="65" t="s">
        <v>29</v>
      </c>
      <c r="I14" s="66">
        <v>0</v>
      </c>
      <c r="J14" s="25"/>
      <c r="K14" s="25"/>
      <c r="L14" s="25"/>
    </row>
    <row r="15" spans="1:12" x14ac:dyDescent="0.3">
      <c r="A15" s="48" t="s">
        <v>33</v>
      </c>
      <c r="B15" s="48" t="s">
        <v>34</v>
      </c>
      <c r="C15" s="42">
        <v>10</v>
      </c>
      <c r="D15" s="48">
        <v>6</v>
      </c>
      <c r="E15" s="18">
        <f t="shared" si="3"/>
        <v>60</v>
      </c>
      <c r="F15" s="9"/>
      <c r="G15" s="60" t="s">
        <v>32</v>
      </c>
      <c r="H15" s="62"/>
      <c r="I15" s="63"/>
      <c r="J15" s="25"/>
      <c r="K15" s="25"/>
      <c r="L15" s="25"/>
    </row>
    <row r="16" spans="1:12" x14ac:dyDescent="0.3">
      <c r="A16" s="48" t="s">
        <v>35</v>
      </c>
      <c r="B16" s="48" t="s">
        <v>36</v>
      </c>
      <c r="C16" s="42">
        <v>9.5</v>
      </c>
      <c r="D16" s="48">
        <v>35</v>
      </c>
      <c r="E16" s="18">
        <f>(C16*D16)</f>
        <v>332.5</v>
      </c>
      <c r="F16" s="9"/>
      <c r="G16" s="25"/>
      <c r="H16" s="25"/>
      <c r="I16" s="70"/>
      <c r="J16" s="25"/>
      <c r="K16" s="25"/>
      <c r="L16" s="25"/>
    </row>
    <row r="17" spans="1:12" x14ac:dyDescent="0.3">
      <c r="A17" s="48" t="s">
        <v>91</v>
      </c>
      <c r="B17" s="48" t="s">
        <v>31</v>
      </c>
      <c r="C17" s="42">
        <v>10</v>
      </c>
      <c r="D17" s="48">
        <v>9</v>
      </c>
      <c r="E17" s="18">
        <f>(C17*D17)</f>
        <v>90</v>
      </c>
      <c r="F17" s="9"/>
      <c r="G17" s="25"/>
      <c r="H17" s="25"/>
      <c r="I17" s="70"/>
      <c r="J17" s="25"/>
      <c r="K17" s="25"/>
      <c r="L17" s="25"/>
    </row>
    <row r="18" spans="1:12" x14ac:dyDescent="0.3">
      <c r="A18" s="48" t="s">
        <v>41</v>
      </c>
      <c r="B18" s="48" t="s">
        <v>31</v>
      </c>
      <c r="C18" s="42">
        <v>100</v>
      </c>
      <c r="D18" s="48">
        <v>1</v>
      </c>
      <c r="E18" s="18">
        <f>C18*D18</f>
        <v>100</v>
      </c>
      <c r="F18" s="9"/>
      <c r="G18" s="13" t="s">
        <v>38</v>
      </c>
      <c r="H18" s="16"/>
      <c r="I18" s="15"/>
      <c r="J18" s="15"/>
      <c r="K18" s="15"/>
      <c r="L18" s="25"/>
    </row>
    <row r="19" spans="1:12" x14ac:dyDescent="0.3">
      <c r="A19" s="48" t="s">
        <v>44</v>
      </c>
      <c r="B19" s="48" t="s">
        <v>31</v>
      </c>
      <c r="C19" s="42">
        <v>20</v>
      </c>
      <c r="D19" s="48">
        <v>1</v>
      </c>
      <c r="E19" s="18">
        <f t="shared" ref="E19:E24" si="4">C19*D19</f>
        <v>20</v>
      </c>
      <c r="F19" s="9"/>
      <c r="G19" s="13" t="s">
        <v>40</v>
      </c>
      <c r="H19" s="16"/>
      <c r="I19" s="15"/>
      <c r="J19" s="15"/>
      <c r="K19" s="15"/>
      <c r="L19" s="25"/>
    </row>
    <row r="20" spans="1:12" ht="15" x14ac:dyDescent="0.3">
      <c r="A20" s="48" t="s">
        <v>46</v>
      </c>
      <c r="B20" s="48" t="s">
        <v>54</v>
      </c>
      <c r="C20" s="42">
        <v>2.25</v>
      </c>
      <c r="D20" s="48">
        <v>1</v>
      </c>
      <c r="E20" s="18">
        <f t="shared" si="4"/>
        <v>2.25</v>
      </c>
      <c r="F20" s="9"/>
      <c r="G20" s="54" t="s">
        <v>42</v>
      </c>
      <c r="H20" s="67">
        <v>6</v>
      </c>
      <c r="I20" s="55" t="s">
        <v>43</v>
      </c>
      <c r="J20" s="55"/>
      <c r="K20" s="56"/>
      <c r="L20" s="25"/>
    </row>
    <row r="21" spans="1:12" ht="15" x14ac:dyDescent="0.3">
      <c r="A21" s="48" t="s">
        <v>84</v>
      </c>
      <c r="B21" s="48" t="s">
        <v>50</v>
      </c>
      <c r="C21" s="42">
        <v>31</v>
      </c>
      <c r="D21" s="48">
        <v>0.4</v>
      </c>
      <c r="E21" s="18">
        <f t="shared" si="4"/>
        <v>12.4</v>
      </c>
      <c r="F21" s="9"/>
      <c r="G21" s="57" t="s">
        <v>45</v>
      </c>
      <c r="H21" s="53">
        <v>4</v>
      </c>
      <c r="I21" s="50" t="s">
        <v>85</v>
      </c>
      <c r="J21" s="50"/>
      <c r="K21" s="58"/>
      <c r="L21" s="25"/>
    </row>
    <row r="22" spans="1:12" ht="15" x14ac:dyDescent="0.3">
      <c r="A22" s="48" t="s">
        <v>97</v>
      </c>
      <c r="B22" s="48" t="s">
        <v>54</v>
      </c>
      <c r="C22" s="42">
        <v>8.6300000000000008</v>
      </c>
      <c r="D22" s="48">
        <v>0.5</v>
      </c>
      <c r="E22" s="18">
        <f t="shared" si="4"/>
        <v>4.3150000000000004</v>
      </c>
      <c r="F22" s="9"/>
      <c r="G22" s="57" t="s">
        <v>45</v>
      </c>
      <c r="H22" s="51">
        <f>1-(((43560/H20)*3)/43560)</f>
        <v>0.5</v>
      </c>
      <c r="I22" s="50" t="s">
        <v>102</v>
      </c>
      <c r="J22" s="50"/>
      <c r="K22" s="58"/>
    </row>
    <row r="23" spans="1:12" x14ac:dyDescent="0.3">
      <c r="A23" s="48" t="s">
        <v>94</v>
      </c>
      <c r="B23" s="48" t="s">
        <v>50</v>
      </c>
      <c r="C23" s="42">
        <v>1.56</v>
      </c>
      <c r="D23" s="48">
        <f>1*8</f>
        <v>8</v>
      </c>
      <c r="E23" s="18">
        <f t="shared" si="4"/>
        <v>12.48</v>
      </c>
      <c r="F23" s="9"/>
      <c r="G23" s="57" t="s">
        <v>45</v>
      </c>
      <c r="H23" s="52">
        <v>7260</v>
      </c>
      <c r="I23" s="50" t="s">
        <v>88</v>
      </c>
      <c r="J23" s="50"/>
      <c r="K23" s="58"/>
    </row>
    <row r="24" spans="1:12" x14ac:dyDescent="0.3">
      <c r="A24" s="48" t="s">
        <v>95</v>
      </c>
      <c r="B24" s="48" t="s">
        <v>54</v>
      </c>
      <c r="C24" s="42">
        <v>5.13</v>
      </c>
      <c r="D24" s="48">
        <f>7*3</f>
        <v>21</v>
      </c>
      <c r="E24" s="18">
        <f t="shared" si="4"/>
        <v>107.73</v>
      </c>
      <c r="F24" s="9"/>
      <c r="G24" s="57" t="s">
        <v>47</v>
      </c>
      <c r="H24" s="50"/>
      <c r="I24" s="53" t="s">
        <v>48</v>
      </c>
      <c r="J24" s="50" t="s">
        <v>49</v>
      </c>
      <c r="K24" s="58"/>
    </row>
    <row r="25" spans="1:12" x14ac:dyDescent="0.3">
      <c r="A25" s="48" t="s">
        <v>57</v>
      </c>
      <c r="B25" s="48" t="s">
        <v>50</v>
      </c>
      <c r="C25" s="42">
        <v>2.1</v>
      </c>
      <c r="D25" s="48">
        <f>3*8</f>
        <v>24</v>
      </c>
      <c r="E25" s="18">
        <f>C25*D25</f>
        <v>50.400000000000006</v>
      </c>
      <c r="F25" s="9"/>
      <c r="G25" s="59" t="s">
        <v>51</v>
      </c>
      <c r="H25" s="53">
        <v>1</v>
      </c>
      <c r="I25" s="50" t="s">
        <v>52</v>
      </c>
      <c r="J25" s="53">
        <v>3</v>
      </c>
      <c r="K25" s="58" t="s">
        <v>53</v>
      </c>
    </row>
    <row r="26" spans="1:12" x14ac:dyDescent="0.3">
      <c r="A26" s="48" t="s">
        <v>93</v>
      </c>
      <c r="B26" s="48" t="s">
        <v>12</v>
      </c>
      <c r="C26" s="42">
        <v>3.2</v>
      </c>
      <c r="D26" s="48">
        <f>3*7</f>
        <v>21</v>
      </c>
      <c r="E26" s="18">
        <f>C26*D26</f>
        <v>67.2</v>
      </c>
      <c r="F26" s="9"/>
      <c r="G26" s="57" t="s">
        <v>45</v>
      </c>
      <c r="H26" s="52">
        <f>IF(I24="between",43560/H20/H21,43560/H20/H21*((J25/(H25+J25))))</f>
        <v>1815</v>
      </c>
      <c r="I26" s="50" t="s">
        <v>55</v>
      </c>
      <c r="J26" s="50"/>
      <c r="K26" s="58"/>
    </row>
    <row r="27" spans="1:12" x14ac:dyDescent="0.3">
      <c r="A27" s="48" t="s">
        <v>92</v>
      </c>
      <c r="B27" s="48" t="s">
        <v>50</v>
      </c>
      <c r="C27" s="42">
        <v>2.27</v>
      </c>
      <c r="D27" s="48">
        <f>1*14</f>
        <v>14</v>
      </c>
      <c r="E27" s="18">
        <f>C27*D27</f>
        <v>31.78</v>
      </c>
      <c r="F27" s="9"/>
      <c r="G27" s="60" t="s">
        <v>45</v>
      </c>
      <c r="H27" s="61">
        <f>IF(I24="between",H26*(H25/(H25+J25)),43560/H20/H21*(H25/(H25+J25)))</f>
        <v>453.75</v>
      </c>
      <c r="I27" s="62" t="s">
        <v>56</v>
      </c>
      <c r="J27" s="62"/>
      <c r="K27" s="63"/>
    </row>
    <row r="28" spans="1:12" x14ac:dyDescent="0.3">
      <c r="A28" s="48" t="s">
        <v>96</v>
      </c>
      <c r="B28" s="48" t="s">
        <v>54</v>
      </c>
      <c r="C28" s="42">
        <v>12.63</v>
      </c>
      <c r="D28" s="48">
        <v>2</v>
      </c>
      <c r="E28" s="18">
        <f>C28*D28</f>
        <v>25.26</v>
      </c>
      <c r="F28" s="9"/>
      <c r="G28" s="1" t="s">
        <v>86</v>
      </c>
      <c r="H28" s="72"/>
      <c r="I28" s="25"/>
      <c r="J28" s="25"/>
      <c r="K28" s="25"/>
    </row>
    <row r="29" spans="1:12" x14ac:dyDescent="0.3">
      <c r="A29" s="48" t="s">
        <v>58</v>
      </c>
      <c r="B29" s="48" t="s">
        <v>59</v>
      </c>
      <c r="C29" s="42">
        <v>40</v>
      </c>
      <c r="D29" s="48">
        <v>1.5</v>
      </c>
      <c r="E29" s="18">
        <f>(C29*D29)</f>
        <v>60</v>
      </c>
      <c r="F29" s="9"/>
      <c r="G29" s="71"/>
      <c r="H29" s="72"/>
      <c r="I29" s="25"/>
      <c r="J29" s="25"/>
      <c r="K29" s="25"/>
    </row>
    <row r="30" spans="1:12" ht="15" x14ac:dyDescent="0.3">
      <c r="A30" s="48" t="s">
        <v>60</v>
      </c>
      <c r="B30" s="42">
        <f>SUM(E6:E29)</f>
        <v>2444.9970000000003</v>
      </c>
      <c r="C30" s="68">
        <v>6</v>
      </c>
      <c r="D30" s="83">
        <v>2.5000000000000001E-2</v>
      </c>
      <c r="E30" s="18">
        <f>B30*(C30/12)*D30</f>
        <v>30.562462500000006</v>
      </c>
      <c r="F30" s="77"/>
      <c r="G30" s="78"/>
      <c r="H30" s="74"/>
      <c r="I30" s="25"/>
      <c r="J30" s="25"/>
      <c r="K30" s="25"/>
    </row>
    <row r="31" spans="1:12" x14ac:dyDescent="0.3">
      <c r="A31" s="34" t="s">
        <v>61</v>
      </c>
      <c r="B31" s="35"/>
      <c r="C31" s="35"/>
      <c r="D31" s="35"/>
      <c r="E31" s="36">
        <f>SUM(E6:E30)</f>
        <v>2475.5594625000003</v>
      </c>
      <c r="F31" s="9"/>
      <c r="G31" s="75"/>
      <c r="H31" s="74"/>
      <c r="I31" s="25"/>
      <c r="J31" s="74"/>
      <c r="K31" s="25"/>
    </row>
    <row r="32" spans="1:12" x14ac:dyDescent="0.3">
      <c r="F32" s="9"/>
      <c r="G32" s="25"/>
      <c r="H32" s="73"/>
      <c r="I32" s="25"/>
      <c r="J32" s="25"/>
      <c r="K32" s="25"/>
    </row>
    <row r="33" spans="1:11" x14ac:dyDescent="0.3">
      <c r="A33" s="12"/>
      <c r="E33" s="11"/>
      <c r="F33" s="9"/>
      <c r="G33" s="25"/>
      <c r="H33" s="73"/>
      <c r="I33" s="25"/>
      <c r="J33" s="25"/>
      <c r="K33" s="25"/>
    </row>
    <row r="34" spans="1:11" x14ac:dyDescent="0.3">
      <c r="A34" s="13" t="s">
        <v>62</v>
      </c>
      <c r="B34" s="16"/>
      <c r="C34" s="16"/>
      <c r="D34" s="16"/>
      <c r="E34" s="16"/>
      <c r="F34" s="9"/>
    </row>
    <row r="35" spans="1:11" x14ac:dyDescent="0.3">
      <c r="A35" s="37" t="s">
        <v>5</v>
      </c>
      <c r="B35" s="37" t="s">
        <v>6</v>
      </c>
      <c r="C35" s="37" t="s">
        <v>7</v>
      </c>
      <c r="D35" s="37" t="s">
        <v>8</v>
      </c>
      <c r="E35" s="38" t="s">
        <v>9</v>
      </c>
      <c r="F35" s="11"/>
    </row>
    <row r="36" spans="1:11" x14ac:dyDescent="0.3">
      <c r="A36" s="48" t="s">
        <v>63</v>
      </c>
      <c r="B36" s="48" t="s">
        <v>64</v>
      </c>
      <c r="C36" s="42">
        <v>8.4</v>
      </c>
      <c r="D36" s="48">
        <v>1</v>
      </c>
      <c r="E36" s="18">
        <f>C36*D36</f>
        <v>8.4</v>
      </c>
      <c r="F36" s="11"/>
    </row>
    <row r="37" spans="1:11" x14ac:dyDescent="0.3">
      <c r="A37" s="48" t="s">
        <v>65</v>
      </c>
      <c r="B37" s="48" t="s">
        <v>64</v>
      </c>
      <c r="C37" s="42">
        <v>9.2899999999999991</v>
      </c>
      <c r="D37" s="48">
        <v>8</v>
      </c>
      <c r="E37" s="18">
        <f t="shared" ref="E37:E46" si="5">C37*D37</f>
        <v>74.319999999999993</v>
      </c>
    </row>
    <row r="38" spans="1:11" x14ac:dyDescent="0.3">
      <c r="A38" s="48" t="s">
        <v>66</v>
      </c>
      <c r="B38" s="48" t="s">
        <v>64</v>
      </c>
      <c r="C38" s="42">
        <v>13.8</v>
      </c>
      <c r="D38" s="48">
        <v>0</v>
      </c>
      <c r="E38" s="18">
        <f>C38*D38</f>
        <v>0</v>
      </c>
      <c r="F38" s="8"/>
    </row>
    <row r="39" spans="1:11" x14ac:dyDescent="0.3">
      <c r="A39" s="48" t="s">
        <v>90</v>
      </c>
      <c r="B39" s="48" t="s">
        <v>31</v>
      </c>
      <c r="C39" s="42">
        <v>15</v>
      </c>
      <c r="D39" s="48">
        <v>1</v>
      </c>
      <c r="E39" s="18">
        <f>C39*D39</f>
        <v>15</v>
      </c>
      <c r="F39" s="9"/>
    </row>
    <row r="40" spans="1:11" x14ac:dyDescent="0.3">
      <c r="A40" s="48" t="s">
        <v>67</v>
      </c>
      <c r="B40" s="48" t="s">
        <v>64</v>
      </c>
      <c r="C40" s="42">
        <v>25</v>
      </c>
      <c r="D40" s="48">
        <v>1</v>
      </c>
      <c r="E40" s="18">
        <f t="shared" si="5"/>
        <v>25</v>
      </c>
      <c r="F40" s="9"/>
    </row>
    <row r="41" spans="1:11" x14ac:dyDescent="0.3">
      <c r="A41" s="48" t="s">
        <v>68</v>
      </c>
      <c r="B41" s="48" t="s">
        <v>31</v>
      </c>
      <c r="C41" s="42">
        <v>21.7</v>
      </c>
      <c r="D41" s="48">
        <v>1</v>
      </c>
      <c r="E41" s="18">
        <f t="shared" si="5"/>
        <v>21.7</v>
      </c>
      <c r="F41" s="9"/>
      <c r="G41" s="25" t="s">
        <v>69</v>
      </c>
    </row>
    <row r="42" spans="1:11" x14ac:dyDescent="0.3">
      <c r="A42" s="48" t="s">
        <v>70</v>
      </c>
      <c r="B42" s="48" t="s">
        <v>31</v>
      </c>
      <c r="C42" s="42">
        <v>18.100000000000001</v>
      </c>
      <c r="D42" s="48">
        <v>1</v>
      </c>
      <c r="E42" s="18">
        <f t="shared" si="5"/>
        <v>18.100000000000001</v>
      </c>
      <c r="F42" s="9"/>
    </row>
    <row r="43" spans="1:11" x14ac:dyDescent="0.3">
      <c r="A43" s="48" t="s">
        <v>37</v>
      </c>
      <c r="B43" s="48" t="s">
        <v>31</v>
      </c>
      <c r="C43" s="42">
        <v>10</v>
      </c>
      <c r="D43" s="48">
        <v>1</v>
      </c>
      <c r="E43" s="18">
        <f>C43*D43</f>
        <v>10</v>
      </c>
      <c r="F43" s="9"/>
    </row>
    <row r="44" spans="1:11" x14ac:dyDescent="0.3">
      <c r="A44" s="48" t="s">
        <v>39</v>
      </c>
      <c r="B44" s="48" t="s">
        <v>31</v>
      </c>
      <c r="C44" s="42">
        <v>15</v>
      </c>
      <c r="D44" s="48">
        <v>1</v>
      </c>
      <c r="E44" s="18">
        <f>C44*D44</f>
        <v>15</v>
      </c>
      <c r="F44" s="9"/>
    </row>
    <row r="45" spans="1:11" ht="15" x14ac:dyDescent="0.3">
      <c r="A45" s="48" t="s">
        <v>98</v>
      </c>
      <c r="B45" s="48" t="s">
        <v>31</v>
      </c>
      <c r="C45" s="42">
        <v>181.47</v>
      </c>
      <c r="D45" s="48">
        <v>1</v>
      </c>
      <c r="E45" s="18">
        <f t="shared" si="5"/>
        <v>181.47</v>
      </c>
      <c r="F45" s="9"/>
    </row>
    <row r="46" spans="1:11" ht="15" x14ac:dyDescent="0.3">
      <c r="A46" s="48" t="s">
        <v>99</v>
      </c>
      <c r="B46" s="48" t="s">
        <v>71</v>
      </c>
      <c r="C46" s="42">
        <v>6.16</v>
      </c>
      <c r="D46" s="48">
        <v>8</v>
      </c>
      <c r="E46" s="18">
        <f t="shared" si="5"/>
        <v>49.28</v>
      </c>
      <c r="F46" s="9"/>
    </row>
    <row r="47" spans="1:11" x14ac:dyDescent="0.3">
      <c r="A47" s="34" t="s">
        <v>72</v>
      </c>
      <c r="B47" s="35"/>
      <c r="C47" s="35"/>
      <c r="D47" s="35"/>
      <c r="E47" s="36">
        <f>SUM(E36:E46)</f>
        <v>418.27</v>
      </c>
      <c r="F47" s="9"/>
    </row>
    <row r="48" spans="1:11" x14ac:dyDescent="0.3">
      <c r="A48" s="44"/>
      <c r="B48" s="25"/>
      <c r="C48" s="25"/>
      <c r="D48" s="25"/>
      <c r="E48" s="45"/>
      <c r="F48" s="9"/>
    </row>
    <row r="49" spans="1:12" x14ac:dyDescent="0.3">
      <c r="A49" s="13" t="s">
        <v>73</v>
      </c>
      <c r="B49" s="16"/>
      <c r="C49" s="16"/>
      <c r="D49" s="16"/>
      <c r="E49" s="16"/>
      <c r="F49" s="9"/>
    </row>
    <row r="50" spans="1:12" x14ac:dyDescent="0.3">
      <c r="A50" s="37" t="s">
        <v>5</v>
      </c>
      <c r="B50" s="37" t="s">
        <v>6</v>
      </c>
      <c r="C50" s="37" t="s">
        <v>7</v>
      </c>
      <c r="D50" s="37" t="s">
        <v>8</v>
      </c>
      <c r="E50" s="38" t="s">
        <v>9</v>
      </c>
      <c r="F50" s="11"/>
      <c r="G50" s="10"/>
      <c r="H50" s="10"/>
      <c r="I50" s="10"/>
      <c r="J50" s="10"/>
      <c r="K50" s="10"/>
      <c r="L50" s="10"/>
    </row>
    <row r="51" spans="1:12" x14ac:dyDescent="0.3">
      <c r="A51" s="17" t="s">
        <v>74</v>
      </c>
      <c r="B51" s="17" t="s">
        <v>75</v>
      </c>
      <c r="C51" s="76">
        <v>3.5000000000000003E-2</v>
      </c>
      <c r="D51" s="47">
        <f>H8</f>
        <v>80000</v>
      </c>
      <c r="E51" s="18">
        <f>C51*D51</f>
        <v>2800.0000000000005</v>
      </c>
      <c r="F51" s="9"/>
      <c r="G51" s="46"/>
      <c r="H51" s="46"/>
      <c r="I51" s="10"/>
      <c r="J51" s="10"/>
      <c r="K51" s="10"/>
      <c r="L51" s="10"/>
    </row>
    <row r="52" spans="1:12" x14ac:dyDescent="0.3">
      <c r="A52" s="17" t="s">
        <v>76</v>
      </c>
      <c r="B52" s="17" t="s">
        <v>75</v>
      </c>
      <c r="C52" s="76">
        <v>3.5000000000000003E-2</v>
      </c>
      <c r="D52" s="47">
        <f>H9</f>
        <v>60000</v>
      </c>
      <c r="E52" s="18">
        <f>C52*D52</f>
        <v>2100</v>
      </c>
      <c r="F52" s="9"/>
      <c r="G52" s="10"/>
      <c r="H52" s="10"/>
      <c r="I52" s="10"/>
      <c r="J52" s="10"/>
      <c r="K52" s="10"/>
      <c r="L52" s="10"/>
    </row>
    <row r="53" spans="1:12" x14ac:dyDescent="0.3">
      <c r="A53" s="17" t="s">
        <v>77</v>
      </c>
      <c r="B53" s="17" t="s">
        <v>75</v>
      </c>
      <c r="C53" s="76">
        <v>3.5000000000000003E-2</v>
      </c>
      <c r="D53" s="47">
        <f>H10</f>
        <v>40000</v>
      </c>
      <c r="E53" s="18">
        <f>C53*D53</f>
        <v>1400.0000000000002</v>
      </c>
      <c r="F53" s="9"/>
      <c r="G53" s="10"/>
      <c r="H53" s="10"/>
      <c r="I53" s="10"/>
      <c r="J53" s="10"/>
      <c r="K53" s="10"/>
      <c r="L53" s="10"/>
    </row>
    <row r="54" spans="1:12" x14ac:dyDescent="0.3">
      <c r="A54" s="44"/>
      <c r="B54" s="25"/>
      <c r="C54" s="25"/>
      <c r="D54" s="25"/>
      <c r="E54" s="45"/>
      <c r="F54" s="9"/>
      <c r="G54" s="10"/>
      <c r="H54" s="10"/>
      <c r="I54" s="10"/>
      <c r="J54" s="10"/>
      <c r="K54" s="10"/>
      <c r="L54" s="10"/>
    </row>
    <row r="55" spans="1:12" x14ac:dyDescent="0.3">
      <c r="A55" s="39" t="s">
        <v>78</v>
      </c>
      <c r="B55" s="40"/>
      <c r="C55" s="29"/>
      <c r="D55" s="29"/>
      <c r="E55" s="30">
        <f>E31+E47+E52+(E56*I14)</f>
        <v>4993.8294624999999</v>
      </c>
      <c r="F55" s="9"/>
      <c r="G55" s="10"/>
      <c r="H55" s="10"/>
      <c r="I55" s="10"/>
      <c r="J55" s="10"/>
      <c r="K55" s="10"/>
      <c r="L55" s="10"/>
    </row>
    <row r="56" spans="1:12" x14ac:dyDescent="0.3">
      <c r="A56" s="39" t="s">
        <v>79</v>
      </c>
      <c r="B56" s="40"/>
      <c r="C56" s="29"/>
      <c r="D56" s="29"/>
      <c r="E56" s="30">
        <f>H9*J7</f>
        <v>7200</v>
      </c>
      <c r="F56" s="9"/>
      <c r="G56" s="168"/>
      <c r="H56" s="10"/>
      <c r="I56" s="10"/>
      <c r="J56" s="10"/>
      <c r="K56" s="10"/>
      <c r="L56" s="10"/>
    </row>
    <row r="57" spans="1:12" x14ac:dyDescent="0.3">
      <c r="A57" s="39" t="s">
        <v>80</v>
      </c>
      <c r="B57" s="41"/>
      <c r="C57" s="31"/>
      <c r="D57" s="31"/>
      <c r="E57" s="32">
        <f>SUM(E56-E55)</f>
        <v>2206.1705375000001</v>
      </c>
      <c r="F57" s="9"/>
      <c r="G57" s="10"/>
      <c r="H57" s="10"/>
      <c r="I57" s="10"/>
      <c r="J57" s="10"/>
      <c r="K57" s="10"/>
      <c r="L57" s="10"/>
    </row>
    <row r="58" spans="1:12" x14ac:dyDescent="0.3">
      <c r="F58" s="9"/>
      <c r="G58" s="46"/>
      <c r="H58" s="46"/>
      <c r="I58" s="46"/>
      <c r="J58" s="46"/>
      <c r="K58" s="46"/>
      <c r="L58" s="46"/>
    </row>
    <row r="59" spans="1:12" ht="15" x14ac:dyDescent="0.3">
      <c r="A59" s="82" t="s">
        <v>103</v>
      </c>
      <c r="G59" s="49">
        <f>H22</f>
        <v>0.5</v>
      </c>
      <c r="H59" s="1" t="s">
        <v>87</v>
      </c>
      <c r="L59" s="10"/>
    </row>
    <row r="60" spans="1:12" s="25" customFormat="1" x14ac:dyDescent="0.3">
      <c r="A60" s="1"/>
      <c r="B60" s="1"/>
      <c r="C60" s="1"/>
      <c r="D60" s="1"/>
      <c r="E60" s="1"/>
      <c r="F60" s="3"/>
      <c r="G60" s="1"/>
      <c r="H60" s="1"/>
      <c r="I60" s="1"/>
      <c r="J60" s="1"/>
      <c r="K60" s="1"/>
      <c r="L60" s="10"/>
    </row>
    <row r="61" spans="1:12" s="25" customFormat="1" ht="15" x14ac:dyDescent="0.3">
      <c r="A61" s="33" t="s">
        <v>101</v>
      </c>
      <c r="B61" s="1"/>
      <c r="C61" s="1"/>
      <c r="D61" s="1"/>
      <c r="E61" s="1"/>
      <c r="F61" s="3"/>
      <c r="G61" s="1"/>
      <c r="H61" s="1"/>
      <c r="I61" s="1"/>
      <c r="J61" s="1"/>
      <c r="K61" s="1"/>
      <c r="L61" s="10"/>
    </row>
    <row r="62" spans="1:12" s="25" customFormat="1" x14ac:dyDescent="0.3">
      <c r="A62" s="1"/>
      <c r="B62" s="1"/>
      <c r="C62" s="1"/>
      <c r="D62" s="1"/>
      <c r="E62" s="1"/>
      <c r="F62" s="3"/>
      <c r="G62" s="1"/>
      <c r="H62" s="1"/>
      <c r="I62" s="1"/>
      <c r="J62" s="1"/>
      <c r="K62" s="1"/>
      <c r="L62" s="10"/>
    </row>
    <row r="63" spans="1:12" ht="15" x14ac:dyDescent="0.3">
      <c r="A63" s="33" t="s">
        <v>100</v>
      </c>
      <c r="B63" s="2"/>
      <c r="C63" s="2"/>
      <c r="D63" s="2"/>
      <c r="E63" s="3"/>
      <c r="L63" s="10"/>
    </row>
    <row r="64" spans="1:12" x14ac:dyDescent="0.3">
      <c r="A64" s="1" t="s">
        <v>81</v>
      </c>
      <c r="L64" s="10"/>
    </row>
    <row r="65" spans="12:12" x14ac:dyDescent="0.3">
      <c r="L65" s="10"/>
    </row>
    <row r="66" spans="12:12" x14ac:dyDescent="0.3">
      <c r="L66" s="10"/>
    </row>
    <row r="67" spans="12:12" x14ac:dyDescent="0.3">
      <c r="L67" s="10"/>
    </row>
    <row r="68" spans="12:12" x14ac:dyDescent="0.3">
      <c r="L68" s="10"/>
    </row>
    <row r="69" spans="12:12" x14ac:dyDescent="0.3">
      <c r="L69" s="10"/>
    </row>
  </sheetData>
  <sheetProtection algorithmName="SHA-512" hashValue="RqT/GycPvWOlIQZWdPc+6CmEyJfQuztBIH0uPx2hhYreav7BxzSFclyk08ivQg19CnfC3E5VOvvaFai89Q5GYA==" saltValue="WmwNzwuV2dsW0uWOCKxUdw==" spinCount="100000" sheet="1" objects="1" scenarios="1"/>
  <phoneticPr fontId="1" type="noConversion"/>
  <pageMargins left="0.75" right="0.75" top="1" bottom="1" header="0.5" footer="0.5"/>
  <pageSetup scale="75" orientation="portrait" cellComments="atEnd" horizontalDpi="300" verticalDpi="300" r:id="rId1"/>
  <headerFooter alignWithMargins="0"/>
  <ignoredErrors>
    <ignoredError sqref="E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>
      <selection activeCell="E22" sqref="E22"/>
    </sheetView>
  </sheetViews>
  <sheetFormatPr defaultColWidth="9.109375" defaultRowHeight="13.8" x14ac:dyDescent="0.3"/>
  <cols>
    <col min="1" max="1" width="27.5546875" style="87" customWidth="1"/>
    <col min="2" max="2" width="10.109375" style="87" customWidth="1"/>
    <col min="3" max="3" width="9.5546875" style="87" customWidth="1"/>
    <col min="4" max="4" width="8.33203125" style="87" customWidth="1"/>
    <col min="5" max="5" width="11.109375" style="87" customWidth="1"/>
    <col min="6" max="6" width="4" style="87" customWidth="1"/>
    <col min="7" max="7" width="10.44140625" style="87" customWidth="1"/>
    <col min="8" max="8" width="11.44140625" style="87" customWidth="1"/>
    <col min="9" max="11" width="13.33203125" style="87" customWidth="1"/>
    <col min="12" max="16384" width="9.109375" style="87"/>
  </cols>
  <sheetData>
    <row r="1" spans="1:12" ht="15.6" x14ac:dyDescent="0.3">
      <c r="A1" s="84" t="s">
        <v>0</v>
      </c>
      <c r="B1" s="85"/>
      <c r="C1" s="86"/>
      <c r="D1" s="85"/>
    </row>
    <row r="2" spans="1:12" ht="15.6" x14ac:dyDescent="0.3">
      <c r="A2" s="88" t="s">
        <v>1</v>
      </c>
      <c r="B2" s="85"/>
      <c r="C2" s="85"/>
      <c r="D2" s="85"/>
    </row>
    <row r="3" spans="1:12" ht="15.6" x14ac:dyDescent="0.3">
      <c r="A3" s="84" t="s">
        <v>82</v>
      </c>
      <c r="B3" s="89"/>
      <c r="D3" s="85"/>
    </row>
    <row r="4" spans="1:12" ht="15.6" x14ac:dyDescent="0.3">
      <c r="A4" s="90" t="s">
        <v>3</v>
      </c>
      <c r="B4" s="91"/>
      <c r="C4" s="91"/>
      <c r="D4" s="91"/>
      <c r="E4" s="92"/>
      <c r="G4" s="93"/>
      <c r="I4" s="94" t="s">
        <v>83</v>
      </c>
      <c r="J4" s="95"/>
      <c r="K4" s="95"/>
    </row>
    <row r="5" spans="1:12" s="102" customFormat="1" x14ac:dyDescent="0.3">
      <c r="A5" s="96" t="s">
        <v>5</v>
      </c>
      <c r="B5" s="96" t="s">
        <v>6</v>
      </c>
      <c r="C5" s="96" t="s">
        <v>7</v>
      </c>
      <c r="D5" s="96" t="s">
        <v>8</v>
      </c>
      <c r="E5" s="97" t="s">
        <v>9</v>
      </c>
      <c r="F5" s="98"/>
      <c r="G5" s="93"/>
      <c r="H5" s="93"/>
      <c r="I5" s="99"/>
      <c r="J5" s="100" t="s">
        <v>10</v>
      </c>
      <c r="K5" s="101"/>
    </row>
    <row r="6" spans="1:12" x14ac:dyDescent="0.3">
      <c r="A6" s="103" t="s">
        <v>11</v>
      </c>
      <c r="B6" s="103" t="s">
        <v>12</v>
      </c>
      <c r="C6" s="157">
        <v>0.45</v>
      </c>
      <c r="D6" s="158">
        <v>150</v>
      </c>
      <c r="E6" s="104">
        <f t="shared" ref="E6:E13" si="0">(C6*D6)</f>
        <v>67.5</v>
      </c>
      <c r="F6" s="105"/>
      <c r="G6" s="86"/>
      <c r="H6" s="86"/>
      <c r="I6" s="106" t="s">
        <v>13</v>
      </c>
      <c r="J6" s="107" t="s">
        <v>14</v>
      </c>
      <c r="K6" s="106" t="s">
        <v>15</v>
      </c>
    </row>
    <row r="7" spans="1:12" x14ac:dyDescent="0.3">
      <c r="A7" s="103" t="s">
        <v>16</v>
      </c>
      <c r="B7" s="103" t="s">
        <v>12</v>
      </c>
      <c r="C7" s="157">
        <v>0.56000000000000005</v>
      </c>
      <c r="D7" s="158">
        <v>50</v>
      </c>
      <c r="E7" s="104">
        <f t="shared" si="0"/>
        <v>28.000000000000004</v>
      </c>
      <c r="F7" s="105"/>
      <c r="G7" s="108" t="s">
        <v>17</v>
      </c>
      <c r="H7" s="90"/>
      <c r="I7" s="162">
        <v>0.15</v>
      </c>
      <c r="J7" s="163">
        <v>0.12</v>
      </c>
      <c r="K7" s="162">
        <v>0.06</v>
      </c>
    </row>
    <row r="8" spans="1:12" x14ac:dyDescent="0.3">
      <c r="A8" s="103" t="s">
        <v>18</v>
      </c>
      <c r="B8" s="103" t="s">
        <v>12</v>
      </c>
      <c r="C8" s="157">
        <v>0.33</v>
      </c>
      <c r="D8" s="158">
        <v>100</v>
      </c>
      <c r="E8" s="104">
        <f t="shared" si="0"/>
        <v>33</v>
      </c>
      <c r="F8" s="105"/>
      <c r="G8" s="109" t="s">
        <v>19</v>
      </c>
      <c r="H8" s="161">
        <v>80000</v>
      </c>
      <c r="I8" s="104">
        <f>(I7*H8)-$E$40-$E$63-$E67-($I$14*(I7*H8))</f>
        <v>6306.1705374999983</v>
      </c>
      <c r="J8" s="104">
        <f>(J7*H8)-$E$40-$E$63-$E67-($I$14*(J7*H8))</f>
        <v>3906.1705374999997</v>
      </c>
      <c r="K8" s="104">
        <f>(K7*H8)-$E$40-$E$63-$E67-($I$14*(K7*H8))</f>
        <v>-893.82946250000077</v>
      </c>
    </row>
    <row r="9" spans="1:12" x14ac:dyDescent="0.3">
      <c r="A9" s="103" t="s">
        <v>20</v>
      </c>
      <c r="B9" s="103" t="s">
        <v>21</v>
      </c>
      <c r="C9" s="157">
        <v>42</v>
      </c>
      <c r="D9" s="158">
        <v>1</v>
      </c>
      <c r="E9" s="104">
        <f t="shared" si="0"/>
        <v>42</v>
      </c>
      <c r="F9" s="105"/>
      <c r="G9" s="109" t="s">
        <v>22</v>
      </c>
      <c r="H9" s="161">
        <v>60000</v>
      </c>
      <c r="I9" s="104">
        <f>(I7*H9)-$E$40-$E$63-$E68-($I$14*(I7*H9))</f>
        <v>4006.1705375000001</v>
      </c>
      <c r="J9" s="104">
        <f>(J7*H9)-$E$40-$E$63-$E68-($I$14*(J7*H9))</f>
        <v>2206.1705375000001</v>
      </c>
      <c r="K9" s="104">
        <f>(K7*H9)-$E$40-$E$63-$E68-($I$14*(K7*H9))</f>
        <v>-1393.8294625000003</v>
      </c>
    </row>
    <row r="10" spans="1:12" x14ac:dyDescent="0.3">
      <c r="A10" s="103" t="s">
        <v>89</v>
      </c>
      <c r="B10" s="103" t="s">
        <v>12</v>
      </c>
      <c r="C10" s="157">
        <v>0.4</v>
      </c>
      <c r="D10" s="159">
        <v>20</v>
      </c>
      <c r="E10" s="104">
        <f t="shared" si="0"/>
        <v>8</v>
      </c>
      <c r="F10" s="105"/>
      <c r="G10" s="109" t="s">
        <v>25</v>
      </c>
      <c r="H10" s="161">
        <v>40000</v>
      </c>
      <c r="I10" s="104">
        <f>(I7*H10)-$E$40-$E$63-$E69-($I$14*(I7*H10))</f>
        <v>1706.1705374999995</v>
      </c>
      <c r="J10" s="104">
        <f>(J7*H10)-$E$40-$E$63-$E69-($I$14*(J7*H10))</f>
        <v>506.17053749999945</v>
      </c>
      <c r="K10" s="104">
        <f>(K7*H10)-$E$40-$E$63-$E69-($I$14*(K7*H10))</f>
        <v>-1893.8294625000005</v>
      </c>
    </row>
    <row r="11" spans="1:12" x14ac:dyDescent="0.3">
      <c r="A11" s="103" t="s">
        <v>26</v>
      </c>
      <c r="B11" s="103" t="s">
        <v>27</v>
      </c>
      <c r="C11" s="157">
        <v>292.83</v>
      </c>
      <c r="D11" s="158">
        <v>1.9</v>
      </c>
      <c r="E11" s="104">
        <f t="shared" si="0"/>
        <v>556.37699999999995</v>
      </c>
      <c r="F11" s="105"/>
      <c r="H11" s="110"/>
      <c r="I11" s="105"/>
      <c r="J11" s="105"/>
      <c r="K11" s="105"/>
    </row>
    <row r="12" spans="1:12" x14ac:dyDescent="0.3">
      <c r="A12" s="103" t="s">
        <v>28</v>
      </c>
      <c r="B12" s="103" t="s">
        <v>27</v>
      </c>
      <c r="C12" s="157">
        <v>181.21</v>
      </c>
      <c r="D12" s="158">
        <v>0.5</v>
      </c>
      <c r="E12" s="104">
        <f t="shared" si="0"/>
        <v>90.605000000000004</v>
      </c>
      <c r="F12" s="105"/>
      <c r="G12" s="86"/>
      <c r="H12" s="110"/>
      <c r="I12" s="105"/>
      <c r="J12" s="105"/>
      <c r="K12" s="105"/>
    </row>
    <row r="13" spans="1:12" x14ac:dyDescent="0.3">
      <c r="A13" s="103" t="s">
        <v>23</v>
      </c>
      <c r="B13" s="103" t="s">
        <v>24</v>
      </c>
      <c r="C13" s="157">
        <v>7.0000000000000007E-2</v>
      </c>
      <c r="D13" s="158">
        <v>7260</v>
      </c>
      <c r="E13" s="104">
        <f t="shared" si="0"/>
        <v>508.20000000000005</v>
      </c>
      <c r="F13" s="105"/>
      <c r="G13" s="93"/>
      <c r="H13" s="93"/>
    </row>
    <row r="14" spans="1:12" x14ac:dyDescent="0.3">
      <c r="A14" s="103" t="s">
        <v>30</v>
      </c>
      <c r="B14" s="103" t="s">
        <v>31</v>
      </c>
      <c r="C14" s="157">
        <v>135</v>
      </c>
      <c r="D14" s="158">
        <v>1</v>
      </c>
      <c r="E14" s="104">
        <f t="shared" ref="E14:E15" si="1">C14*D14</f>
        <v>135</v>
      </c>
      <c r="F14" s="105"/>
      <c r="G14" s="111"/>
      <c r="H14" s="112" t="s">
        <v>29</v>
      </c>
      <c r="I14" s="164">
        <v>0</v>
      </c>
      <c r="J14" s="93"/>
      <c r="K14" s="93"/>
      <c r="L14" s="93"/>
    </row>
    <row r="15" spans="1:12" x14ac:dyDescent="0.3">
      <c r="A15" s="103" t="s">
        <v>33</v>
      </c>
      <c r="B15" s="103" t="s">
        <v>34</v>
      </c>
      <c r="C15" s="157">
        <v>10</v>
      </c>
      <c r="D15" s="158">
        <v>6</v>
      </c>
      <c r="E15" s="104">
        <f t="shared" si="1"/>
        <v>60</v>
      </c>
      <c r="F15" s="105"/>
      <c r="G15" s="113" t="s">
        <v>32</v>
      </c>
      <c r="H15" s="114"/>
      <c r="I15" s="115"/>
      <c r="J15" s="93"/>
      <c r="K15" s="93"/>
      <c r="L15" s="93"/>
    </row>
    <row r="16" spans="1:12" x14ac:dyDescent="0.3">
      <c r="A16" s="103" t="s">
        <v>35</v>
      </c>
      <c r="B16" s="103" t="s">
        <v>36</v>
      </c>
      <c r="C16" s="157">
        <v>9.5</v>
      </c>
      <c r="D16" s="158">
        <v>35</v>
      </c>
      <c r="E16" s="104">
        <f>(C16*D16)</f>
        <v>332.5</v>
      </c>
      <c r="F16" s="105"/>
      <c r="G16" s="93"/>
      <c r="H16" s="93"/>
      <c r="I16" s="116"/>
      <c r="J16" s="93"/>
      <c r="K16" s="93"/>
      <c r="L16" s="93"/>
    </row>
    <row r="17" spans="1:12" x14ac:dyDescent="0.3">
      <c r="A17" s="103" t="s">
        <v>91</v>
      </c>
      <c r="B17" s="103" t="s">
        <v>31</v>
      </c>
      <c r="C17" s="157">
        <v>10</v>
      </c>
      <c r="D17" s="158">
        <v>9</v>
      </c>
      <c r="E17" s="104">
        <f>(C17*D17)</f>
        <v>90</v>
      </c>
      <c r="F17" s="105"/>
      <c r="G17" s="93"/>
      <c r="H17" s="93"/>
      <c r="I17" s="116"/>
      <c r="J17" s="93"/>
      <c r="K17" s="93"/>
      <c r="L17" s="93"/>
    </row>
    <row r="18" spans="1:12" x14ac:dyDescent="0.3">
      <c r="A18" s="103" t="s">
        <v>41</v>
      </c>
      <c r="B18" s="103" t="s">
        <v>31</v>
      </c>
      <c r="C18" s="157">
        <v>100</v>
      </c>
      <c r="D18" s="158">
        <v>1</v>
      </c>
      <c r="E18" s="104">
        <f>C18*D18</f>
        <v>100</v>
      </c>
      <c r="F18" s="105"/>
      <c r="G18" s="90" t="s">
        <v>38</v>
      </c>
      <c r="H18" s="99"/>
      <c r="I18" s="92"/>
      <c r="J18" s="92"/>
      <c r="K18" s="92"/>
      <c r="L18" s="93"/>
    </row>
    <row r="19" spans="1:12" x14ac:dyDescent="0.3">
      <c r="A19" s="103" t="s">
        <v>44</v>
      </c>
      <c r="B19" s="103" t="s">
        <v>31</v>
      </c>
      <c r="C19" s="157">
        <v>20</v>
      </c>
      <c r="D19" s="158">
        <v>1</v>
      </c>
      <c r="E19" s="104">
        <f t="shared" ref="E19:E24" si="2">C19*D19</f>
        <v>20</v>
      </c>
      <c r="F19" s="105"/>
      <c r="G19" s="90" t="s">
        <v>40</v>
      </c>
      <c r="H19" s="99"/>
      <c r="I19" s="92"/>
      <c r="J19" s="92"/>
      <c r="K19" s="92"/>
      <c r="L19" s="93"/>
    </row>
    <row r="20" spans="1:12" ht="15" x14ac:dyDescent="0.3">
      <c r="A20" s="158" t="s">
        <v>46</v>
      </c>
      <c r="B20" s="158" t="s">
        <v>54</v>
      </c>
      <c r="C20" s="157">
        <v>2.25</v>
      </c>
      <c r="D20" s="158">
        <v>1</v>
      </c>
      <c r="E20" s="104">
        <f t="shared" si="2"/>
        <v>2.25</v>
      </c>
      <c r="F20" s="105"/>
      <c r="G20" s="117" t="s">
        <v>42</v>
      </c>
      <c r="H20" s="165">
        <v>6</v>
      </c>
      <c r="I20" s="118" t="s">
        <v>43</v>
      </c>
      <c r="J20" s="118"/>
      <c r="K20" s="119"/>
      <c r="L20" s="93"/>
    </row>
    <row r="21" spans="1:12" ht="15" x14ac:dyDescent="0.3">
      <c r="A21" s="158" t="s">
        <v>84</v>
      </c>
      <c r="B21" s="158" t="s">
        <v>50</v>
      </c>
      <c r="C21" s="157">
        <v>31</v>
      </c>
      <c r="D21" s="158">
        <v>0.4</v>
      </c>
      <c r="E21" s="104">
        <f t="shared" si="2"/>
        <v>12.4</v>
      </c>
      <c r="F21" s="105"/>
      <c r="G21" s="120" t="s">
        <v>45</v>
      </c>
      <c r="H21" s="166">
        <v>4</v>
      </c>
      <c r="I21" s="121" t="s">
        <v>85</v>
      </c>
      <c r="J21" s="121"/>
      <c r="K21" s="122"/>
      <c r="L21" s="93"/>
    </row>
    <row r="22" spans="1:12" ht="15" x14ac:dyDescent="0.3">
      <c r="A22" s="158" t="s">
        <v>97</v>
      </c>
      <c r="B22" s="158" t="s">
        <v>54</v>
      </c>
      <c r="C22" s="157">
        <v>8.6300000000000008</v>
      </c>
      <c r="D22" s="158">
        <v>0.5</v>
      </c>
      <c r="E22" s="104">
        <f t="shared" si="2"/>
        <v>4.3150000000000004</v>
      </c>
      <c r="F22" s="105"/>
      <c r="G22" s="120" t="s">
        <v>45</v>
      </c>
      <c r="H22" s="123">
        <f>1-(((43560/H20)*3)/43560)</f>
        <v>0.5</v>
      </c>
      <c r="I22" s="121" t="s">
        <v>102</v>
      </c>
      <c r="J22" s="121"/>
      <c r="K22" s="122"/>
    </row>
    <row r="23" spans="1:12" x14ac:dyDescent="0.3">
      <c r="A23" s="158" t="s">
        <v>94</v>
      </c>
      <c r="B23" s="158" t="s">
        <v>50</v>
      </c>
      <c r="C23" s="157">
        <v>1.56</v>
      </c>
      <c r="D23" s="158">
        <f>1*8</f>
        <v>8</v>
      </c>
      <c r="E23" s="104">
        <f t="shared" si="2"/>
        <v>12.48</v>
      </c>
      <c r="F23" s="105"/>
      <c r="G23" s="120" t="s">
        <v>45</v>
      </c>
      <c r="H23" s="124">
        <v>7260</v>
      </c>
      <c r="I23" s="121" t="s">
        <v>88</v>
      </c>
      <c r="J23" s="121"/>
      <c r="K23" s="122"/>
    </row>
    <row r="24" spans="1:12" x14ac:dyDescent="0.3">
      <c r="A24" s="158" t="s">
        <v>95</v>
      </c>
      <c r="B24" s="158" t="s">
        <v>54</v>
      </c>
      <c r="C24" s="157">
        <v>5.13</v>
      </c>
      <c r="D24" s="158">
        <f>7*3</f>
        <v>21</v>
      </c>
      <c r="E24" s="104">
        <f t="shared" si="2"/>
        <v>107.73</v>
      </c>
      <c r="F24" s="105"/>
      <c r="G24" s="120" t="s">
        <v>47</v>
      </c>
      <c r="H24" s="121"/>
      <c r="I24" s="166" t="s">
        <v>48</v>
      </c>
      <c r="J24" s="121" t="s">
        <v>49</v>
      </c>
      <c r="K24" s="122"/>
    </row>
    <row r="25" spans="1:12" x14ac:dyDescent="0.3">
      <c r="A25" s="158" t="s">
        <v>57</v>
      </c>
      <c r="B25" s="158" t="s">
        <v>50</v>
      </c>
      <c r="C25" s="157">
        <v>2.1</v>
      </c>
      <c r="D25" s="158">
        <f>3*8</f>
        <v>24</v>
      </c>
      <c r="E25" s="104">
        <f>C25*D25</f>
        <v>50.400000000000006</v>
      </c>
      <c r="F25" s="105"/>
      <c r="G25" s="125" t="s">
        <v>51</v>
      </c>
      <c r="H25" s="126">
        <v>1</v>
      </c>
      <c r="I25" s="121" t="s">
        <v>52</v>
      </c>
      <c r="J25" s="166">
        <v>3</v>
      </c>
      <c r="K25" s="122" t="s">
        <v>53</v>
      </c>
    </row>
    <row r="26" spans="1:12" x14ac:dyDescent="0.3">
      <c r="A26" s="158" t="s">
        <v>93</v>
      </c>
      <c r="B26" s="158" t="s">
        <v>12</v>
      </c>
      <c r="C26" s="157">
        <v>3.2</v>
      </c>
      <c r="D26" s="158">
        <f>3*7</f>
        <v>21</v>
      </c>
      <c r="E26" s="104">
        <f>C26*D26</f>
        <v>67.2</v>
      </c>
      <c r="F26" s="105"/>
      <c r="G26" s="120" t="s">
        <v>45</v>
      </c>
      <c r="H26" s="124">
        <f>IF(I24="between",43560/H20/H21,43560/H20/H21*((J25/(H25+J25))))</f>
        <v>1815</v>
      </c>
      <c r="I26" s="121" t="s">
        <v>55</v>
      </c>
      <c r="J26" s="121"/>
      <c r="K26" s="122"/>
    </row>
    <row r="27" spans="1:12" x14ac:dyDescent="0.3">
      <c r="A27" s="158" t="s">
        <v>92</v>
      </c>
      <c r="B27" s="158" t="s">
        <v>50</v>
      </c>
      <c r="C27" s="157">
        <v>2.27</v>
      </c>
      <c r="D27" s="158">
        <f>1*14</f>
        <v>14</v>
      </c>
      <c r="E27" s="104">
        <f>C27*D27</f>
        <v>31.78</v>
      </c>
      <c r="F27" s="105"/>
      <c r="G27" s="113" t="s">
        <v>45</v>
      </c>
      <c r="H27" s="127">
        <f>IF(I24="between",H26*(H25/(H25+J25)),43560/H20/H21*(H25/(H25+J25)))</f>
        <v>453.75</v>
      </c>
      <c r="I27" s="114" t="s">
        <v>56</v>
      </c>
      <c r="J27" s="114"/>
      <c r="K27" s="115"/>
    </row>
    <row r="28" spans="1:12" x14ac:dyDescent="0.3">
      <c r="A28" s="158" t="s">
        <v>96</v>
      </c>
      <c r="B28" s="158" t="s">
        <v>54</v>
      </c>
      <c r="C28" s="157">
        <v>12.63</v>
      </c>
      <c r="D28" s="158">
        <v>2</v>
      </c>
      <c r="E28" s="104">
        <f>C28*D28</f>
        <v>25.26</v>
      </c>
      <c r="F28" s="105"/>
      <c r="G28" s="87" t="s">
        <v>86</v>
      </c>
      <c r="H28" s="128"/>
      <c r="I28" s="93"/>
      <c r="J28" s="93"/>
      <c r="K28" s="93"/>
    </row>
    <row r="29" spans="1:12" x14ac:dyDescent="0.3">
      <c r="A29" s="158"/>
      <c r="B29" s="158"/>
      <c r="C29" s="157"/>
      <c r="D29" s="158"/>
      <c r="E29" s="104">
        <f t="shared" ref="E29:E37" si="3">C29*D29</f>
        <v>0</v>
      </c>
      <c r="F29" s="105"/>
      <c r="H29" s="128"/>
      <c r="I29" s="93"/>
      <c r="J29" s="93"/>
      <c r="K29" s="93"/>
    </row>
    <row r="30" spans="1:12" x14ac:dyDescent="0.3">
      <c r="A30" s="158"/>
      <c r="B30" s="158"/>
      <c r="C30" s="157"/>
      <c r="D30" s="158"/>
      <c r="E30" s="104">
        <f t="shared" si="3"/>
        <v>0</v>
      </c>
      <c r="F30" s="105"/>
      <c r="H30" s="128"/>
      <c r="I30" s="93"/>
      <c r="J30" s="93"/>
      <c r="K30" s="93"/>
    </row>
    <row r="31" spans="1:12" x14ac:dyDescent="0.3">
      <c r="A31" s="158"/>
      <c r="B31" s="158"/>
      <c r="C31" s="157"/>
      <c r="D31" s="158"/>
      <c r="E31" s="104">
        <f t="shared" si="3"/>
        <v>0</v>
      </c>
      <c r="F31" s="105"/>
      <c r="H31" s="128"/>
      <c r="I31" s="93"/>
      <c r="J31" s="93"/>
      <c r="K31" s="93"/>
    </row>
    <row r="32" spans="1:12" x14ac:dyDescent="0.3">
      <c r="A32" s="158"/>
      <c r="B32" s="158"/>
      <c r="C32" s="157"/>
      <c r="D32" s="158"/>
      <c r="E32" s="104">
        <f t="shared" si="3"/>
        <v>0</v>
      </c>
      <c r="F32" s="105"/>
      <c r="H32" s="128"/>
      <c r="I32" s="93"/>
      <c r="J32" s="93"/>
      <c r="K32" s="93"/>
    </row>
    <row r="33" spans="1:11" x14ac:dyDescent="0.3">
      <c r="A33" s="158"/>
      <c r="B33" s="158"/>
      <c r="C33" s="157"/>
      <c r="D33" s="158"/>
      <c r="E33" s="104">
        <f t="shared" si="3"/>
        <v>0</v>
      </c>
      <c r="F33" s="105"/>
      <c r="H33" s="128"/>
      <c r="I33" s="93"/>
      <c r="J33" s="93"/>
      <c r="K33" s="93"/>
    </row>
    <row r="34" spans="1:11" x14ac:dyDescent="0.3">
      <c r="A34" s="158"/>
      <c r="B34" s="158"/>
      <c r="C34" s="157"/>
      <c r="D34" s="158"/>
      <c r="E34" s="104">
        <f t="shared" si="3"/>
        <v>0</v>
      </c>
      <c r="F34" s="105"/>
      <c r="H34" s="128"/>
      <c r="I34" s="93"/>
      <c r="J34" s="93"/>
      <c r="K34" s="93"/>
    </row>
    <row r="35" spans="1:11" x14ac:dyDescent="0.3">
      <c r="A35" s="158"/>
      <c r="B35" s="158"/>
      <c r="C35" s="157"/>
      <c r="D35" s="158"/>
      <c r="E35" s="104">
        <f t="shared" si="3"/>
        <v>0</v>
      </c>
      <c r="F35" s="105"/>
      <c r="H35" s="128"/>
      <c r="I35" s="93"/>
      <c r="J35" s="93"/>
      <c r="K35" s="93"/>
    </row>
    <row r="36" spans="1:11" x14ac:dyDescent="0.3">
      <c r="A36" s="158"/>
      <c r="B36" s="158"/>
      <c r="C36" s="157"/>
      <c r="D36" s="158"/>
      <c r="E36" s="104">
        <f t="shared" si="3"/>
        <v>0</v>
      </c>
      <c r="F36" s="105"/>
      <c r="H36" s="128"/>
      <c r="I36" s="93"/>
      <c r="J36" s="93"/>
      <c r="K36" s="93"/>
    </row>
    <row r="37" spans="1:11" x14ac:dyDescent="0.3">
      <c r="A37" s="158"/>
      <c r="B37" s="158"/>
      <c r="C37" s="157"/>
      <c r="D37" s="158"/>
      <c r="E37" s="104">
        <f t="shared" si="3"/>
        <v>0</v>
      </c>
      <c r="F37" s="105"/>
      <c r="H37" s="128"/>
      <c r="I37" s="93"/>
      <c r="J37" s="93"/>
      <c r="K37" s="93"/>
    </row>
    <row r="38" spans="1:11" x14ac:dyDescent="0.3">
      <c r="A38" s="103" t="s">
        <v>58</v>
      </c>
      <c r="B38" s="103" t="s">
        <v>59</v>
      </c>
      <c r="C38" s="157">
        <v>40</v>
      </c>
      <c r="D38" s="158">
        <v>1.5</v>
      </c>
      <c r="E38" s="104">
        <f>(C38*D38)</f>
        <v>60</v>
      </c>
      <c r="F38" s="105"/>
      <c r="G38" s="129"/>
      <c r="H38" s="128"/>
      <c r="I38" s="93"/>
      <c r="J38" s="93"/>
      <c r="K38" s="93"/>
    </row>
    <row r="39" spans="1:11" ht="15" x14ac:dyDescent="0.3">
      <c r="A39" s="103" t="s">
        <v>60</v>
      </c>
      <c r="B39" s="130">
        <f>SUM(E6:E38)</f>
        <v>2444.9970000000003</v>
      </c>
      <c r="C39" s="159">
        <v>6</v>
      </c>
      <c r="D39" s="160">
        <v>2.5000000000000001E-2</v>
      </c>
      <c r="E39" s="104">
        <f>B39*(C39/12)*D39</f>
        <v>30.562462500000006</v>
      </c>
      <c r="F39" s="131"/>
      <c r="G39" s="132"/>
      <c r="H39" s="133"/>
      <c r="I39" s="93"/>
      <c r="J39" s="93"/>
      <c r="K39" s="93"/>
    </row>
    <row r="40" spans="1:11" x14ac:dyDescent="0.3">
      <c r="A40" s="134" t="s">
        <v>61</v>
      </c>
      <c r="B40" s="135"/>
      <c r="C40" s="135"/>
      <c r="D40" s="135"/>
      <c r="E40" s="136">
        <f>SUM(E6:E39)</f>
        <v>2475.5594625000003</v>
      </c>
      <c r="F40" s="105"/>
      <c r="G40" s="137"/>
      <c r="H40" s="133"/>
      <c r="I40" s="93"/>
      <c r="J40" s="133"/>
      <c r="K40" s="93"/>
    </row>
    <row r="41" spans="1:11" x14ac:dyDescent="0.3">
      <c r="F41" s="105"/>
      <c r="G41" s="93"/>
      <c r="H41" s="138"/>
      <c r="I41" s="93"/>
      <c r="J41" s="93"/>
      <c r="K41" s="93"/>
    </row>
    <row r="42" spans="1:11" x14ac:dyDescent="0.3">
      <c r="A42" s="139"/>
      <c r="E42" s="140"/>
      <c r="F42" s="105"/>
      <c r="G42" s="93"/>
      <c r="H42" s="138"/>
      <c r="I42" s="93"/>
      <c r="J42" s="93"/>
      <c r="K42" s="93"/>
    </row>
    <row r="43" spans="1:11" x14ac:dyDescent="0.3">
      <c r="A43" s="90" t="s">
        <v>62</v>
      </c>
      <c r="B43" s="99"/>
      <c r="C43" s="99"/>
      <c r="D43" s="99"/>
      <c r="E43" s="99"/>
      <c r="F43" s="105"/>
    </row>
    <row r="44" spans="1:11" x14ac:dyDescent="0.3">
      <c r="A44" s="96" t="s">
        <v>5</v>
      </c>
      <c r="B44" s="96" t="s">
        <v>6</v>
      </c>
      <c r="C44" s="96" t="s">
        <v>7</v>
      </c>
      <c r="D44" s="96" t="s">
        <v>8</v>
      </c>
      <c r="E44" s="97" t="s">
        <v>9</v>
      </c>
      <c r="F44" s="140"/>
    </row>
    <row r="45" spans="1:11" x14ac:dyDescent="0.3">
      <c r="A45" s="103" t="s">
        <v>63</v>
      </c>
      <c r="B45" s="103" t="s">
        <v>64</v>
      </c>
      <c r="C45" s="157">
        <v>8.4</v>
      </c>
      <c r="D45" s="158">
        <v>1</v>
      </c>
      <c r="E45" s="104">
        <f>C45*D45</f>
        <v>8.4</v>
      </c>
      <c r="F45" s="140"/>
    </row>
    <row r="46" spans="1:11" x14ac:dyDescent="0.3">
      <c r="A46" s="103" t="s">
        <v>65</v>
      </c>
      <c r="B46" s="103" t="s">
        <v>64</v>
      </c>
      <c r="C46" s="157">
        <v>9.2899999999999991</v>
      </c>
      <c r="D46" s="158">
        <v>8</v>
      </c>
      <c r="E46" s="104">
        <f t="shared" ref="E46:E62" si="4">C46*D46</f>
        <v>74.319999999999993</v>
      </c>
    </row>
    <row r="47" spans="1:11" x14ac:dyDescent="0.3">
      <c r="A47" s="103" t="s">
        <v>66</v>
      </c>
      <c r="B47" s="103" t="s">
        <v>64</v>
      </c>
      <c r="C47" s="157">
        <v>13.8</v>
      </c>
      <c r="D47" s="158">
        <v>0</v>
      </c>
      <c r="E47" s="104">
        <f>C47*D47</f>
        <v>0</v>
      </c>
      <c r="F47" s="98"/>
    </row>
    <row r="48" spans="1:11" x14ac:dyDescent="0.3">
      <c r="A48" s="103" t="s">
        <v>90</v>
      </c>
      <c r="B48" s="103" t="s">
        <v>31</v>
      </c>
      <c r="C48" s="157">
        <v>15</v>
      </c>
      <c r="D48" s="158">
        <v>1</v>
      </c>
      <c r="E48" s="104">
        <f>C48*D48</f>
        <v>15</v>
      </c>
      <c r="F48" s="105"/>
    </row>
    <row r="49" spans="1:7" x14ac:dyDescent="0.3">
      <c r="A49" s="103" t="s">
        <v>67</v>
      </c>
      <c r="B49" s="103" t="s">
        <v>64</v>
      </c>
      <c r="C49" s="157">
        <v>25</v>
      </c>
      <c r="D49" s="158">
        <v>1</v>
      </c>
      <c r="E49" s="104">
        <f t="shared" si="4"/>
        <v>25</v>
      </c>
      <c r="F49" s="105"/>
    </row>
    <row r="50" spans="1:7" x14ac:dyDescent="0.3">
      <c r="A50" s="103" t="s">
        <v>68</v>
      </c>
      <c r="B50" s="103" t="s">
        <v>31</v>
      </c>
      <c r="C50" s="157">
        <v>21.7</v>
      </c>
      <c r="D50" s="158">
        <v>1</v>
      </c>
      <c r="E50" s="104">
        <f t="shared" si="4"/>
        <v>21.7</v>
      </c>
      <c r="F50" s="105"/>
      <c r="G50" s="93" t="s">
        <v>69</v>
      </c>
    </row>
    <row r="51" spans="1:7" x14ac:dyDescent="0.3">
      <c r="A51" s="103" t="s">
        <v>70</v>
      </c>
      <c r="B51" s="103" t="s">
        <v>31</v>
      </c>
      <c r="C51" s="157">
        <v>18.100000000000001</v>
      </c>
      <c r="D51" s="158">
        <v>1</v>
      </c>
      <c r="E51" s="104">
        <f t="shared" si="4"/>
        <v>18.100000000000001</v>
      </c>
      <c r="F51" s="105"/>
    </row>
    <row r="52" spans="1:7" x14ac:dyDescent="0.3">
      <c r="A52" s="103" t="s">
        <v>37</v>
      </c>
      <c r="B52" s="103" t="s">
        <v>31</v>
      </c>
      <c r="C52" s="157">
        <v>10</v>
      </c>
      <c r="D52" s="158">
        <v>1</v>
      </c>
      <c r="E52" s="104">
        <f>C52*D52</f>
        <v>10</v>
      </c>
      <c r="F52" s="105"/>
    </row>
    <row r="53" spans="1:7" x14ac:dyDescent="0.3">
      <c r="A53" s="103" t="s">
        <v>39</v>
      </c>
      <c r="B53" s="103" t="s">
        <v>31</v>
      </c>
      <c r="C53" s="157">
        <v>15</v>
      </c>
      <c r="D53" s="158">
        <v>1</v>
      </c>
      <c r="E53" s="104">
        <f>C53*D53</f>
        <v>15</v>
      </c>
      <c r="F53" s="105"/>
    </row>
    <row r="54" spans="1:7" x14ac:dyDescent="0.3">
      <c r="A54" s="158"/>
      <c r="B54" s="158"/>
      <c r="C54" s="157"/>
      <c r="D54" s="158"/>
      <c r="E54" s="104">
        <f t="shared" ref="E54:E60" si="5">C54*D54</f>
        <v>0</v>
      </c>
      <c r="F54" s="105"/>
    </row>
    <row r="55" spans="1:7" x14ac:dyDescent="0.3">
      <c r="A55" s="158"/>
      <c r="B55" s="158"/>
      <c r="C55" s="157"/>
      <c r="D55" s="158"/>
      <c r="E55" s="104">
        <f t="shared" si="5"/>
        <v>0</v>
      </c>
      <c r="F55" s="105"/>
    </row>
    <row r="56" spans="1:7" x14ac:dyDescent="0.3">
      <c r="A56" s="158"/>
      <c r="B56" s="158"/>
      <c r="C56" s="157"/>
      <c r="D56" s="158"/>
      <c r="E56" s="104">
        <f t="shared" si="5"/>
        <v>0</v>
      </c>
      <c r="F56" s="105"/>
    </row>
    <row r="57" spans="1:7" x14ac:dyDescent="0.3">
      <c r="A57" s="158"/>
      <c r="B57" s="158"/>
      <c r="C57" s="157"/>
      <c r="D57" s="158"/>
      <c r="E57" s="104">
        <f t="shared" si="5"/>
        <v>0</v>
      </c>
      <c r="F57" s="105"/>
    </row>
    <row r="58" spans="1:7" x14ac:dyDescent="0.3">
      <c r="A58" s="158"/>
      <c r="B58" s="158"/>
      <c r="C58" s="157"/>
      <c r="D58" s="158"/>
      <c r="E58" s="104">
        <f t="shared" si="5"/>
        <v>0</v>
      </c>
      <c r="F58" s="105"/>
    </row>
    <row r="59" spans="1:7" x14ac:dyDescent="0.3">
      <c r="A59" s="158"/>
      <c r="B59" s="158"/>
      <c r="C59" s="157"/>
      <c r="D59" s="158"/>
      <c r="E59" s="104">
        <f t="shared" si="5"/>
        <v>0</v>
      </c>
      <c r="F59" s="105"/>
    </row>
    <row r="60" spans="1:7" x14ac:dyDescent="0.3">
      <c r="A60" s="158"/>
      <c r="B60" s="158"/>
      <c r="C60" s="157"/>
      <c r="D60" s="158"/>
      <c r="E60" s="104">
        <f t="shared" si="5"/>
        <v>0</v>
      </c>
      <c r="F60" s="105"/>
    </row>
    <row r="61" spans="1:7" ht="15" x14ac:dyDescent="0.3">
      <c r="A61" s="103" t="s">
        <v>98</v>
      </c>
      <c r="B61" s="103" t="s">
        <v>31</v>
      </c>
      <c r="C61" s="157">
        <v>181.47</v>
      </c>
      <c r="D61" s="158">
        <v>1</v>
      </c>
      <c r="E61" s="104">
        <f t="shared" si="4"/>
        <v>181.47</v>
      </c>
      <c r="F61" s="105"/>
    </row>
    <row r="62" spans="1:7" ht="15" x14ac:dyDescent="0.3">
      <c r="A62" s="103" t="s">
        <v>99</v>
      </c>
      <c r="B62" s="103" t="s">
        <v>71</v>
      </c>
      <c r="C62" s="157">
        <v>6.16</v>
      </c>
      <c r="D62" s="158">
        <v>8</v>
      </c>
      <c r="E62" s="104">
        <f t="shared" si="4"/>
        <v>49.28</v>
      </c>
      <c r="F62" s="105"/>
    </row>
    <row r="63" spans="1:7" x14ac:dyDescent="0.3">
      <c r="A63" s="134" t="s">
        <v>72</v>
      </c>
      <c r="B63" s="135"/>
      <c r="C63" s="135"/>
      <c r="D63" s="135"/>
      <c r="E63" s="136">
        <f>SUM(E45:E62)</f>
        <v>418.27</v>
      </c>
      <c r="F63" s="105"/>
    </row>
    <row r="64" spans="1:7" x14ac:dyDescent="0.3">
      <c r="A64" s="141"/>
      <c r="B64" s="93"/>
      <c r="C64" s="93"/>
      <c r="D64" s="93"/>
      <c r="E64" s="142"/>
      <c r="F64" s="105"/>
    </row>
    <row r="65" spans="1:12" x14ac:dyDescent="0.3">
      <c r="A65" s="90" t="s">
        <v>73</v>
      </c>
      <c r="B65" s="99"/>
      <c r="C65" s="99"/>
      <c r="D65" s="99"/>
      <c r="E65" s="99"/>
      <c r="F65" s="105"/>
    </row>
    <row r="66" spans="1:12" x14ac:dyDescent="0.3">
      <c r="A66" s="96" t="s">
        <v>5</v>
      </c>
      <c r="B66" s="96" t="s">
        <v>6</v>
      </c>
      <c r="C66" s="96" t="s">
        <v>7</v>
      </c>
      <c r="D66" s="96" t="s">
        <v>8</v>
      </c>
      <c r="E66" s="97" t="s">
        <v>9</v>
      </c>
      <c r="F66" s="140"/>
    </row>
    <row r="67" spans="1:12" x14ac:dyDescent="0.3">
      <c r="A67" s="143" t="s">
        <v>74</v>
      </c>
      <c r="B67" s="143" t="s">
        <v>75</v>
      </c>
      <c r="C67" s="167">
        <v>3.5000000000000003E-2</v>
      </c>
      <c r="D67" s="144">
        <f>H8</f>
        <v>80000</v>
      </c>
      <c r="E67" s="104">
        <f>C67*D67</f>
        <v>2800.0000000000005</v>
      </c>
      <c r="F67" s="105"/>
      <c r="G67" s="93"/>
      <c r="H67" s="93"/>
    </row>
    <row r="68" spans="1:12" x14ac:dyDescent="0.3">
      <c r="A68" s="143" t="s">
        <v>76</v>
      </c>
      <c r="B68" s="143" t="s">
        <v>75</v>
      </c>
      <c r="C68" s="167">
        <v>3.5000000000000003E-2</v>
      </c>
      <c r="D68" s="144">
        <f>H9</f>
        <v>60000</v>
      </c>
      <c r="E68" s="104">
        <f>C68*D68</f>
        <v>2100</v>
      </c>
      <c r="F68" s="105"/>
    </row>
    <row r="69" spans="1:12" x14ac:dyDescent="0.3">
      <c r="A69" s="143" t="s">
        <v>77</v>
      </c>
      <c r="B69" s="143" t="s">
        <v>75</v>
      </c>
      <c r="C69" s="167">
        <v>3.5000000000000003E-2</v>
      </c>
      <c r="D69" s="144">
        <f>H10</f>
        <v>40000</v>
      </c>
      <c r="E69" s="104">
        <f>C69*D69</f>
        <v>1400.0000000000002</v>
      </c>
      <c r="F69" s="105"/>
    </row>
    <row r="70" spans="1:12" x14ac:dyDescent="0.3">
      <c r="A70" s="141"/>
      <c r="B70" s="93"/>
      <c r="C70" s="93"/>
      <c r="D70" s="93"/>
      <c r="E70" s="142"/>
      <c r="F70" s="105"/>
    </row>
    <row r="71" spans="1:12" x14ac:dyDescent="0.3">
      <c r="A71" s="145" t="s">
        <v>78</v>
      </c>
      <c r="B71" s="146"/>
      <c r="C71" s="147"/>
      <c r="D71" s="147"/>
      <c r="E71" s="148">
        <f>E40+E63+E68+(E72*I14)</f>
        <v>4993.8294624999999</v>
      </c>
      <c r="F71" s="105"/>
    </row>
    <row r="72" spans="1:12" x14ac:dyDescent="0.3">
      <c r="A72" s="145" t="s">
        <v>79</v>
      </c>
      <c r="B72" s="146"/>
      <c r="C72" s="147"/>
      <c r="D72" s="147"/>
      <c r="E72" s="148">
        <f>H9*J7</f>
        <v>7200</v>
      </c>
      <c r="F72" s="105"/>
    </row>
    <row r="73" spans="1:12" x14ac:dyDescent="0.3">
      <c r="A73" s="145" t="s">
        <v>80</v>
      </c>
      <c r="B73" s="149"/>
      <c r="C73" s="150"/>
      <c r="D73" s="150"/>
      <c r="E73" s="151">
        <f>SUM(E72-E71)</f>
        <v>2206.1705375000001</v>
      </c>
      <c r="F73" s="105"/>
    </row>
    <row r="74" spans="1:12" x14ac:dyDescent="0.3">
      <c r="F74" s="105"/>
      <c r="G74" s="93"/>
      <c r="H74" s="93"/>
      <c r="I74" s="93"/>
      <c r="J74" s="93"/>
      <c r="K74" s="93"/>
      <c r="L74" s="93"/>
    </row>
    <row r="75" spans="1:12" ht="15" x14ac:dyDescent="0.3">
      <c r="A75" s="152" t="s">
        <v>103</v>
      </c>
      <c r="G75" s="153">
        <f>H22</f>
        <v>0.5</v>
      </c>
      <c r="H75" s="87" t="s">
        <v>87</v>
      </c>
    </row>
    <row r="76" spans="1:12" s="93" customFormat="1" x14ac:dyDescent="0.3">
      <c r="A76" s="87"/>
      <c r="B76" s="87"/>
      <c r="C76" s="87"/>
      <c r="D76" s="87"/>
      <c r="E76" s="87"/>
      <c r="F76" s="154"/>
      <c r="G76" s="87"/>
      <c r="H76" s="87"/>
      <c r="I76" s="87"/>
      <c r="J76" s="87"/>
      <c r="K76" s="87"/>
      <c r="L76" s="87"/>
    </row>
    <row r="77" spans="1:12" s="93" customFormat="1" ht="15" x14ac:dyDescent="0.3">
      <c r="A77" s="155" t="s">
        <v>101</v>
      </c>
      <c r="B77" s="87"/>
      <c r="C77" s="87"/>
      <c r="D77" s="87"/>
      <c r="E77" s="87"/>
      <c r="F77" s="154"/>
      <c r="G77" s="87"/>
      <c r="H77" s="87"/>
      <c r="I77" s="87"/>
      <c r="J77" s="87"/>
      <c r="K77" s="87"/>
      <c r="L77" s="87"/>
    </row>
    <row r="78" spans="1:12" s="93" customFormat="1" x14ac:dyDescent="0.3">
      <c r="A78" s="87"/>
      <c r="B78" s="87"/>
      <c r="C78" s="87"/>
      <c r="D78" s="87"/>
      <c r="E78" s="87"/>
      <c r="F78" s="154"/>
      <c r="G78" s="87"/>
      <c r="H78" s="87"/>
      <c r="I78" s="87"/>
      <c r="J78" s="87"/>
      <c r="K78" s="87"/>
      <c r="L78" s="87"/>
    </row>
    <row r="79" spans="1:12" ht="15" x14ac:dyDescent="0.3">
      <c r="A79" s="155" t="s">
        <v>100</v>
      </c>
      <c r="B79" s="156"/>
      <c r="C79" s="156"/>
      <c r="D79" s="156"/>
      <c r="E79" s="154"/>
    </row>
    <row r="80" spans="1:12" x14ac:dyDescent="0.3">
      <c r="A80" s="87" t="s">
        <v>81</v>
      </c>
    </row>
  </sheetData>
  <sheetProtection algorithmName="SHA-512" hashValue="XdjpczoeoFsKxBNN+2Np0l+YrsN69lrv4yLiwf4dVx6yU19ulSbSCBuNf5zCSTVPBU1q8WY6YRfhttA05RAl3g==" saltValue="SJU7V/L8agXoZ/069lQ3i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W. Jennings</dc:creator>
  <cp:keywords/>
  <dc:description/>
  <cp:lastModifiedBy>Emmalea Ernest</cp:lastModifiedBy>
  <cp:revision/>
  <dcterms:created xsi:type="dcterms:W3CDTF">2000-09-13T10:07:55Z</dcterms:created>
  <dcterms:modified xsi:type="dcterms:W3CDTF">2017-11-15T20:11:22Z</dcterms:modified>
  <cp:category/>
  <cp:contentStatus/>
</cp:coreProperties>
</file>