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zach\Downloads\"/>
    </mc:Choice>
  </mc:AlternateContent>
  <xr:revisionPtr revIDLastSave="0" documentId="8_{6AAC5BB7-0BFB-43BE-B64A-0804D4B5EDB0}" xr6:coauthVersionLast="47" xr6:coauthVersionMax="47" xr10:uidLastSave="{00000000-0000-0000-0000-000000000000}"/>
  <bookViews>
    <workbookView xWindow="360" yWindow="2460" windowWidth="17748" windowHeight="9000" activeTab="1" xr2:uid="{D8E5DC15-29AB-47F8-8810-CEA630E3725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11" i="1" s="1"/>
  <c r="D9" i="1"/>
  <c r="E11" i="2"/>
  <c r="G43" i="2"/>
  <c r="D10" i="1"/>
  <c r="E10" i="2"/>
  <c r="E9" i="2"/>
  <c r="G9" i="2" s="1"/>
  <c r="G29" i="2"/>
  <c r="G40" i="2"/>
  <c r="G39" i="2"/>
  <c r="G38" i="2"/>
  <c r="G35" i="2"/>
  <c r="F34" i="2"/>
  <c r="G34" i="2" s="1"/>
  <c r="F33" i="2"/>
  <c r="G33" i="2" s="1"/>
  <c r="G37" i="2"/>
  <c r="E37" i="2"/>
  <c r="G36" i="2"/>
  <c r="F36" i="2"/>
  <c r="G28" i="2"/>
  <c r="E27" i="2"/>
  <c r="G27" i="2" s="1"/>
  <c r="G26" i="2"/>
  <c r="G25" i="2"/>
  <c r="F24" i="2"/>
  <c r="G24" i="2" s="1"/>
  <c r="F23" i="2"/>
  <c r="G23" i="2" s="1"/>
  <c r="G22" i="2"/>
  <c r="G21" i="2"/>
  <c r="G20" i="2"/>
  <c r="G18" i="2"/>
  <c r="G17" i="2"/>
  <c r="G16" i="2"/>
  <c r="G15" i="2"/>
  <c r="E14" i="2"/>
  <c r="G14" i="2" s="1"/>
  <c r="F9" i="1" l="1"/>
  <c r="D11" i="1"/>
  <c r="F10" i="1"/>
  <c r="G10" i="2"/>
  <c r="G11" i="2" s="1"/>
  <c r="G30" i="2" s="1"/>
  <c r="F11" i="1" l="1"/>
  <c r="F36" i="1" l="1"/>
  <c r="E36" i="1"/>
  <c r="G26" i="1"/>
  <c r="G28" i="1"/>
  <c r="G21" i="1"/>
  <c r="G22" i="1"/>
  <c r="G23" i="1"/>
  <c r="G24" i="1"/>
  <c r="G25" i="1"/>
  <c r="G20" i="1"/>
  <c r="G16" i="1"/>
  <c r="G17" i="1"/>
  <c r="G18" i="1"/>
  <c r="G15" i="1"/>
  <c r="G14" i="1"/>
  <c r="F24" i="1"/>
  <c r="F25" i="1"/>
  <c r="F21" i="1"/>
  <c r="F22" i="1"/>
  <c r="F23" i="1"/>
  <c r="F26" i="1"/>
  <c r="F27" i="1"/>
  <c r="F28" i="1"/>
  <c r="F20" i="1"/>
  <c r="F15" i="1"/>
  <c r="F16" i="1"/>
  <c r="F17" i="1"/>
  <c r="F18" i="1"/>
  <c r="F39" i="1"/>
  <c r="F38" i="1"/>
  <c r="E34" i="1"/>
  <c r="F34" i="1" s="1"/>
  <c r="E33" i="1"/>
  <c r="F33" i="1" s="1"/>
  <c r="D27" i="1"/>
  <c r="G27" i="1" s="1"/>
  <c r="D37" i="1"/>
  <c r="F37" i="1" s="1"/>
  <c r="E24" i="1"/>
  <c r="E23" i="1"/>
  <c r="D14" i="1"/>
  <c r="F14" i="1" s="1"/>
  <c r="F29" i="1" l="1"/>
  <c r="F30" i="1" s="1"/>
  <c r="F35" i="1" l="1"/>
  <c r="F40" i="1" s="1"/>
  <c r="F41" i="1" l="1"/>
  <c r="F43" i="1" s="1"/>
  <c r="F44" i="1"/>
  <c r="F45" i="1"/>
  <c r="G44" i="2" l="1"/>
  <c r="G41" i="2"/>
  <c r="G45" i="2" s="1"/>
</calcChain>
</file>

<file path=xl/sharedStrings.xml><?xml version="1.0" encoding="utf-8"?>
<sst xmlns="http://schemas.openxmlformats.org/spreadsheetml/2006/main" count="152" uniqueCount="71">
  <si>
    <t>Production Space</t>
  </si>
  <si>
    <t>sq. ft.</t>
  </si>
  <si>
    <t>Gross Income</t>
  </si>
  <si>
    <t>Unit</t>
  </si>
  <si>
    <t>Quantity</t>
  </si>
  <si>
    <t>$/Unit</t>
  </si>
  <si>
    <t>Total Estimate</t>
  </si>
  <si>
    <t>Variable Costs</t>
  </si>
  <si>
    <t>plugs</t>
  </si>
  <si>
    <r>
      <t>Soil Test</t>
    </r>
    <r>
      <rPr>
        <vertAlign val="superscript"/>
        <sz val="12"/>
        <color theme="1"/>
        <rFont val="Calibri"/>
        <family val="2"/>
      </rPr>
      <t>5</t>
    </r>
  </si>
  <si>
    <t>test</t>
  </si>
  <si>
    <t xml:space="preserve">   Dripline purchased annually</t>
  </si>
  <si>
    <t>linear ft.</t>
  </si>
  <si>
    <t xml:space="preserve">   Attachments purchased annually</t>
  </si>
  <si>
    <t>water use in 1,000 gal.</t>
  </si>
  <si>
    <t>staples</t>
  </si>
  <si>
    <t>ft.</t>
  </si>
  <si>
    <t>hours</t>
  </si>
  <si>
    <t>Total Variable Costs</t>
  </si>
  <si>
    <t>Fixed Costs</t>
  </si>
  <si>
    <t>Model 732 Tiller</t>
  </si>
  <si>
    <t>(15'X20'X16')</t>
  </si>
  <si>
    <t>Total Fixed Costs</t>
  </si>
  <si>
    <t>Total Specified Costs</t>
  </si>
  <si>
    <t>Returns Over Specified  Cost</t>
  </si>
  <si>
    <t>plants</t>
  </si>
  <si>
    <t>https://www.uaex.uada.edu/farm-ranch/crops-commercial-horticulture/horticulture/ar-fruit-veg-nut-update-blog/posts/2019examiningfarmersmarketsurplus.aspx</t>
  </si>
  <si>
    <t>Marketed Rate (1)</t>
  </si>
  <si>
    <t>https://grainger.tennessee.edu/wp-content/uploads/sites/153/2020/07/HLP-Tomato-Homeowner-Spray-Schedule.pdf</t>
  </si>
  <si>
    <r>
      <t>Insecticide -</t>
    </r>
    <r>
      <rPr>
        <i/>
        <sz val="12"/>
        <color theme="1"/>
        <rFont val="Calibri"/>
        <family val="2"/>
      </rPr>
      <t xml:space="preserve"> cost of 2 sprays throughout growing season (2)</t>
    </r>
  </si>
  <si>
    <r>
      <t xml:space="preserve">Fungicide - </t>
    </r>
    <r>
      <rPr>
        <i/>
        <sz val="12"/>
        <color theme="1"/>
        <rFont val="Calibri"/>
        <family val="2"/>
      </rPr>
      <t>cost of  sprays throughout growing season (2)</t>
    </r>
  </si>
  <si>
    <t>https://rutherford.tennessee.edu/wp-content/uploads/sites/200/2022/05/W346-H-The-TN-Vegetable-Garden-Growing-Tomatoes.pdf</t>
  </si>
  <si>
    <t>Fertilizer - 10-10-10 (3)</t>
  </si>
  <si>
    <t xml:space="preserve">   Operation of Irrigation (3)</t>
  </si>
  <si>
    <t>Staples for Ground Cover</t>
  </si>
  <si>
    <t>Black Woven Ground Cover (3 year life)</t>
  </si>
  <si>
    <t>basket</t>
  </si>
  <si>
    <t>https://www.ramseymastergardeners.org/post/home-garden-productivity-study-results</t>
  </si>
  <si>
    <t>Tomato baskets (3 year life)</t>
  </si>
  <si>
    <r>
      <t xml:space="preserve">Garden Labor </t>
    </r>
    <r>
      <rPr>
        <sz val="9"/>
        <color theme="1"/>
        <rFont val="Calibri"/>
        <family val="2"/>
      </rPr>
      <t>(7 minutes/ft^2/wk for 5 months(4) over 1000ft^2)</t>
    </r>
    <r>
      <rPr>
        <sz val="12"/>
        <color theme="1"/>
        <rFont val="Calibri"/>
        <family val="2"/>
      </rPr>
      <t xml:space="preserve"> </t>
    </r>
    <r>
      <rPr>
        <sz val="9"/>
        <color theme="1"/>
        <rFont val="Calibri"/>
        <family val="2"/>
      </rPr>
      <t>(5-6hr/wk)</t>
    </r>
  </si>
  <si>
    <t>Harvest Containers</t>
  </si>
  <si>
    <t>day</t>
  </si>
  <si>
    <t>Marketing Labor</t>
  </si>
  <si>
    <r>
      <t xml:space="preserve">Marketing Costs </t>
    </r>
    <r>
      <rPr>
        <sz val="9"/>
        <color theme="1"/>
        <rFont val="Calibri"/>
        <family val="2"/>
      </rPr>
      <t>(farmers' markets, 2 markets, $25 entrance, $5/wk)</t>
    </r>
  </si>
  <si>
    <t>mile</t>
  </si>
  <si>
    <r>
      <t xml:space="preserve">Fuel </t>
    </r>
    <r>
      <rPr>
        <sz val="9"/>
        <color theme="1"/>
        <rFont val="Calibri"/>
        <family val="2"/>
      </rPr>
      <t>(20 mile round trip to farmer's markets)</t>
    </r>
  </si>
  <si>
    <t>boxes</t>
  </si>
  <si>
    <t>portion of mortgage</t>
  </si>
  <si>
    <r>
      <t>Land Cost</t>
    </r>
    <r>
      <rPr>
        <sz val="9"/>
        <color theme="1"/>
        <rFont val="Calibri"/>
        <family val="2"/>
      </rPr>
      <t xml:space="preserve"> ($50,000/acre, 6% interest)</t>
    </r>
  </si>
  <si>
    <t>Other Equipment</t>
  </si>
  <si>
    <t>Return to Variable Cost</t>
  </si>
  <si>
    <r>
      <t>Storage and Post-Harvest Handling Building</t>
    </r>
    <r>
      <rPr>
        <sz val="9"/>
        <color theme="1"/>
        <rFont val="Calibri"/>
        <family val="2"/>
      </rPr>
      <t xml:space="preserve"> (depreciable over 10 years)</t>
    </r>
  </si>
  <si>
    <r>
      <t xml:space="preserve">Used Tiller </t>
    </r>
    <r>
      <rPr>
        <sz val="9"/>
        <color theme="1"/>
        <rFont val="Calibri"/>
        <family val="2"/>
      </rPr>
      <t>(deprecitiable over 7 years)</t>
    </r>
  </si>
  <si>
    <t>Other Fixed Cost</t>
  </si>
  <si>
    <t>Breakeven Quantity of Production (in 1000 ft^2 blocks)</t>
  </si>
  <si>
    <t>Small-Scale Tomato Budget</t>
  </si>
  <si>
    <t>Breakeven Price/lb (for only 1000ft^2)</t>
  </si>
  <si>
    <t>Average Pounds per Plant (multiple varieties)</t>
  </si>
  <si>
    <r>
      <t xml:space="preserve">Planting Density </t>
    </r>
    <r>
      <rPr>
        <sz val="9"/>
        <color theme="1"/>
        <rFont val="Calibri"/>
        <family val="2"/>
      </rPr>
      <t>(6ft centers, 2 feet between plants, so about 6 30ft rows per 1000sqft)</t>
    </r>
  </si>
  <si>
    <t>Quantity/1000ft^2</t>
  </si>
  <si>
    <t>plants/1000 ft^2</t>
  </si>
  <si>
    <t>Total Quantity</t>
  </si>
  <si>
    <t>Soil Test</t>
  </si>
  <si>
    <t>Irrigation Supplies</t>
  </si>
  <si>
    <t xml:space="preserve">Transplants </t>
  </si>
  <si>
    <t>Total Revenue</t>
  </si>
  <si>
    <t>Tomatoes retail (in pounds)</t>
  </si>
  <si>
    <t>Tomatoes Wholesale (in pounds)</t>
  </si>
  <si>
    <t>% Mix</t>
  </si>
  <si>
    <t>Total lbs</t>
  </si>
  <si>
    <t>This institution is an equal opportunity provider.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</si>
</sst>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2"/>
      <color theme="0"/>
      <name val="Calibri"/>
      <family val="2"/>
    </font>
    <font>
      <i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89999084444715716"/>
        <bgColor rgb="FFFFFFFF"/>
      </patternFill>
    </fill>
    <fill>
      <patternFill patternType="solid">
        <fgColor theme="3" tint="0.249977111117893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3" tint="0.89999084444715716"/>
        <bgColor rgb="FFFF9900"/>
      </patternFill>
    </fill>
    <fill>
      <patternFill patternType="solid">
        <fgColor theme="3" tint="0.89999084444715716"/>
        <bgColor theme="0"/>
      </patternFill>
    </fill>
    <fill>
      <patternFill patternType="solid">
        <fgColor theme="3" tint="0.249977111117893"/>
        <bgColor theme="0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4" borderId="2" xfId="0" applyNumberFormat="1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 applyProtection="1">
      <alignment horizontal="center" vertical="center"/>
      <protection locked="0"/>
    </xf>
    <xf numFmtId="164" fontId="4" fillId="4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3" fontId="4" fillId="6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164" fontId="4" fillId="7" borderId="2" xfId="0" applyNumberFormat="1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>
      <alignment horizontal="center" vertical="center"/>
    </xf>
    <xf numFmtId="1" fontId="4" fillId="8" borderId="2" xfId="0" applyNumberFormat="1" applyFont="1" applyFill="1" applyBorder="1" applyAlignment="1" applyProtection="1">
      <alignment horizontal="center" vertical="center"/>
      <protection locked="0"/>
    </xf>
    <xf numFmtId="164" fontId="4" fillId="8" borderId="2" xfId="0" applyNumberFormat="1" applyFont="1" applyFill="1" applyBorder="1" applyAlignment="1" applyProtection="1">
      <alignment horizontal="center" vertical="center"/>
      <protection locked="0"/>
    </xf>
    <xf numFmtId="164" fontId="4" fillId="6" borderId="0" xfId="0" applyNumberFormat="1" applyFont="1" applyFill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4" fillId="8" borderId="2" xfId="0" applyFont="1" applyFill="1" applyBorder="1" applyAlignment="1" applyProtection="1">
      <alignment horizontal="center" vertical="center"/>
      <protection locked="0"/>
    </xf>
    <xf numFmtId="164" fontId="4" fillId="6" borderId="3" xfId="0" applyNumberFormat="1" applyFont="1" applyFill="1" applyBorder="1" applyAlignment="1">
      <alignment horizontal="center" vertical="center"/>
    </xf>
    <xf numFmtId="164" fontId="4" fillId="6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164" fontId="4" fillId="0" borderId="9" xfId="0" applyNumberFormat="1" applyFont="1" applyBorder="1" applyAlignment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164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right" vertical="center"/>
    </xf>
    <xf numFmtId="0" fontId="0" fillId="0" borderId="11" xfId="0" applyBorder="1"/>
    <xf numFmtId="0" fontId="2" fillId="0" borderId="11" xfId="0" applyFont="1" applyBorder="1" applyAlignment="1">
      <alignment horizontal="right"/>
    </xf>
    <xf numFmtId="1" fontId="11" fillId="0" borderId="11" xfId="0" applyNumberFormat="1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 applyAlignment="1">
      <alignment horizontal="right"/>
    </xf>
    <xf numFmtId="44" fontId="11" fillId="0" borderId="12" xfId="1" applyFont="1" applyBorder="1" applyAlignment="1">
      <alignment horizontal="center"/>
    </xf>
    <xf numFmtId="164" fontId="0" fillId="0" borderId="0" xfId="0" applyNumberFormat="1"/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10" borderId="2" xfId="0" applyNumberFormat="1" applyFont="1" applyFill="1" applyBorder="1" applyAlignment="1">
      <alignment horizontal="center" vertical="center"/>
    </xf>
    <xf numFmtId="1" fontId="12" fillId="0" borderId="0" xfId="0" applyNumberFormat="1" applyFont="1"/>
    <xf numFmtId="1" fontId="12" fillId="0" borderId="1" xfId="0" applyNumberFormat="1" applyFont="1" applyBorder="1"/>
    <xf numFmtId="3" fontId="4" fillId="0" borderId="2" xfId="0" applyNumberFormat="1" applyFont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8" fillId="0" borderId="0" xfId="0" applyNumberFormat="1" applyFont="1" applyAlignment="1" applyProtection="1">
      <alignment horizontal="right" vertical="center"/>
      <protection locked="0"/>
    </xf>
    <xf numFmtId="0" fontId="4" fillId="3" borderId="1" xfId="0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9" fontId="4" fillId="3" borderId="0" xfId="2" applyFont="1" applyFill="1" applyAlignment="1">
      <alignment horizontal="center" vertical="center"/>
    </xf>
    <xf numFmtId="9" fontId="4" fillId="3" borderId="1" xfId="2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0" fillId="0" borderId="1" xfId="0" applyBorder="1"/>
    <xf numFmtId="164" fontId="8" fillId="0" borderId="1" xfId="0" applyNumberFormat="1" applyFont="1" applyBorder="1" applyAlignment="1" applyProtection="1">
      <alignment horizontal="right" vertical="center"/>
      <protection locked="0"/>
    </xf>
    <xf numFmtId="3" fontId="8" fillId="3" borderId="1" xfId="0" applyNumberFormat="1" applyFont="1" applyFill="1" applyBorder="1" applyAlignment="1">
      <alignment horizontal="right" vertical="center"/>
    </xf>
    <xf numFmtId="1" fontId="0" fillId="0" borderId="1" xfId="0" applyNumberFormat="1" applyBorder="1"/>
    <xf numFmtId="0" fontId="8" fillId="0" borderId="1" xfId="0" applyFont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0" fontId="8" fillId="6" borderId="5" xfId="0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EBD5-77BE-4655-97E8-1E102AC2D3DC}">
  <dimension ref="A2:K53"/>
  <sheetViews>
    <sheetView topLeftCell="A43" workbookViewId="0">
      <selection activeCell="B53" sqref="B53"/>
    </sheetView>
  </sheetViews>
  <sheetFormatPr defaultRowHeight="14.4" x14ac:dyDescent="0.3"/>
  <cols>
    <col min="2" max="2" width="70.109375" customWidth="1"/>
    <col min="3" max="3" width="25.33203125" bestFit="1" customWidth="1"/>
    <col min="4" max="4" width="19.44140625" bestFit="1" customWidth="1"/>
    <col min="5" max="5" width="21.6640625" customWidth="1"/>
    <col min="6" max="6" width="15.109375" bestFit="1" customWidth="1"/>
    <col min="7" max="7" width="15.44140625" bestFit="1" customWidth="1"/>
    <col min="9" max="9" width="0" hidden="1" customWidth="1"/>
  </cols>
  <sheetData>
    <row r="2" spans="2:9" ht="21" x14ac:dyDescent="0.3">
      <c r="B2" s="71" t="s">
        <v>55</v>
      </c>
      <c r="C2" s="71"/>
      <c r="D2" s="71"/>
      <c r="E2" s="71"/>
      <c r="F2" s="71"/>
      <c r="G2" s="71"/>
    </row>
    <row r="3" spans="2:9" ht="15.6" x14ac:dyDescent="0.3">
      <c r="B3" s="1" t="s">
        <v>0</v>
      </c>
      <c r="C3" s="50">
        <v>1000</v>
      </c>
      <c r="D3" s="3" t="s">
        <v>1</v>
      </c>
      <c r="E3" s="4"/>
      <c r="F3" s="5"/>
    </row>
    <row r="4" spans="2:9" ht="15.6" x14ac:dyDescent="0.3">
      <c r="B4" s="1" t="s">
        <v>58</v>
      </c>
      <c r="C4" s="7">
        <v>80</v>
      </c>
      <c r="D4" t="s">
        <v>60</v>
      </c>
      <c r="F4" s="5"/>
      <c r="I4">
        <v>1000</v>
      </c>
    </row>
    <row r="5" spans="2:9" ht="15.6" x14ac:dyDescent="0.3">
      <c r="B5" s="1" t="s">
        <v>27</v>
      </c>
      <c r="C5" s="6">
        <v>0.75</v>
      </c>
      <c r="F5" s="5"/>
      <c r="I5">
        <v>2000</v>
      </c>
    </row>
    <row r="6" spans="2:9" ht="15.6" x14ac:dyDescent="0.3">
      <c r="B6" s="1" t="s">
        <v>57</v>
      </c>
      <c r="C6" s="7">
        <v>8</v>
      </c>
      <c r="F6" s="5"/>
      <c r="I6">
        <v>3000</v>
      </c>
    </row>
    <row r="7" spans="2:9" ht="15.6" x14ac:dyDescent="0.3">
      <c r="B7" s="3"/>
      <c r="C7" s="5"/>
      <c r="D7" s="5"/>
      <c r="E7" s="4"/>
      <c r="F7" s="5"/>
      <c r="I7">
        <v>4000</v>
      </c>
    </row>
    <row r="8" spans="2:9" ht="15.6" x14ac:dyDescent="0.3">
      <c r="B8" s="8" t="s">
        <v>2</v>
      </c>
      <c r="C8" s="9" t="s">
        <v>68</v>
      </c>
      <c r="D8" s="10" t="s">
        <v>4</v>
      </c>
      <c r="E8" s="54" t="s">
        <v>5</v>
      </c>
      <c r="F8" s="9" t="s">
        <v>6</v>
      </c>
      <c r="G8" s="9" t="s">
        <v>61</v>
      </c>
      <c r="I8">
        <v>5000</v>
      </c>
    </row>
    <row r="9" spans="2:9" ht="15.6" x14ac:dyDescent="0.3">
      <c r="B9" s="1" t="s">
        <v>66</v>
      </c>
      <c r="C9" s="59">
        <v>0.6</v>
      </c>
      <c r="D9" s="11">
        <f>C4*C5*C6*C9</f>
        <v>288</v>
      </c>
      <c r="E9" s="12">
        <v>4</v>
      </c>
      <c r="F9" s="13">
        <f>D9*E9*C3/1000</f>
        <v>1152</v>
      </c>
      <c r="G9" s="51">
        <f>D9*$C$3/1000</f>
        <v>288</v>
      </c>
      <c r="I9">
        <v>6000</v>
      </c>
    </row>
    <row r="10" spans="2:9" ht="15.6" x14ac:dyDescent="0.3">
      <c r="B10" s="57" t="s">
        <v>67</v>
      </c>
      <c r="C10" s="60">
        <v>0.4</v>
      </c>
      <c r="D10" s="11">
        <f>C4*C5*C6*C10</f>
        <v>192</v>
      </c>
      <c r="E10" s="12">
        <v>1</v>
      </c>
      <c r="F10" s="58">
        <f>D10*E10*C3/1000</f>
        <v>192</v>
      </c>
      <c r="G10" s="52">
        <f>D10*$C$3/1000</f>
        <v>192</v>
      </c>
      <c r="I10">
        <v>7000</v>
      </c>
    </row>
    <row r="11" spans="2:9" ht="15.6" x14ac:dyDescent="0.3">
      <c r="B11" s="62"/>
      <c r="C11" s="64" t="s">
        <v>69</v>
      </c>
      <c r="D11" s="49">
        <f>SUM(D9:D10)</f>
        <v>480</v>
      </c>
      <c r="E11" s="63" t="s">
        <v>65</v>
      </c>
      <c r="F11" s="58">
        <f>SUM(F9:F10)</f>
        <v>1344</v>
      </c>
      <c r="G11" s="65">
        <f>SUM(G9:G10)</f>
        <v>480</v>
      </c>
      <c r="I11">
        <v>8000</v>
      </c>
    </row>
    <row r="12" spans="2:9" ht="15.6" x14ac:dyDescent="0.3">
      <c r="C12" s="61"/>
      <c r="D12" s="55"/>
      <c r="E12" s="56"/>
      <c r="F12" s="13"/>
    </row>
    <row r="13" spans="2:9" ht="15.6" x14ac:dyDescent="0.3">
      <c r="B13" s="37" t="s">
        <v>7</v>
      </c>
      <c r="C13" s="9" t="s">
        <v>3</v>
      </c>
      <c r="D13" s="14" t="s">
        <v>59</v>
      </c>
      <c r="E13" s="15" t="s">
        <v>5</v>
      </c>
      <c r="F13" s="9" t="s">
        <v>6</v>
      </c>
      <c r="G13" s="9" t="s">
        <v>61</v>
      </c>
      <c r="I13">
        <v>9000</v>
      </c>
    </row>
    <row r="14" spans="2:9" ht="15.6" x14ac:dyDescent="0.3">
      <c r="B14" s="1" t="s">
        <v>64</v>
      </c>
      <c r="C14" s="2" t="s">
        <v>8</v>
      </c>
      <c r="D14" s="16">
        <f>C4</f>
        <v>80</v>
      </c>
      <c r="E14" s="12">
        <v>0.5</v>
      </c>
      <c r="F14" s="13">
        <f>(D14*E14)*$C$3/1000</f>
        <v>40</v>
      </c>
      <c r="G14" s="51">
        <f>D14*$C$3/1000</f>
        <v>80</v>
      </c>
      <c r="I14">
        <v>10000</v>
      </c>
    </row>
    <row r="15" spans="2:9" ht="17.399999999999999" x14ac:dyDescent="0.3">
      <c r="B15" s="1" t="s">
        <v>9</v>
      </c>
      <c r="C15" s="2" t="s">
        <v>10</v>
      </c>
      <c r="D15" s="17">
        <v>1</v>
      </c>
      <c r="E15" s="12">
        <v>15</v>
      </c>
      <c r="F15" s="13">
        <f>(D15*E15)*$C$3/1000</f>
        <v>15</v>
      </c>
      <c r="G15" s="51">
        <f>D15*$C$3/1000</f>
        <v>1</v>
      </c>
      <c r="I15">
        <v>11000</v>
      </c>
    </row>
    <row r="16" spans="2:9" ht="15.6" x14ac:dyDescent="0.3">
      <c r="B16" s="1" t="s">
        <v>32</v>
      </c>
      <c r="C16" s="2"/>
      <c r="D16" s="7">
        <v>1</v>
      </c>
      <c r="E16" s="12">
        <v>22.97</v>
      </c>
      <c r="F16" s="13">
        <f>(D16*E16)*$C$3/1000</f>
        <v>22.97</v>
      </c>
      <c r="G16" s="51">
        <f t="shared" ref="G16:G28" si="0">D16*$C$3/1000</f>
        <v>1</v>
      </c>
      <c r="I16">
        <v>12000</v>
      </c>
    </row>
    <row r="17" spans="2:11" ht="15.6" x14ac:dyDescent="0.3">
      <c r="B17" s="1" t="s">
        <v>30</v>
      </c>
      <c r="C17" s="2"/>
      <c r="D17" s="7">
        <v>1</v>
      </c>
      <c r="E17" s="12">
        <v>23.19</v>
      </c>
      <c r="F17" s="13">
        <f>(D17*E17)*$C$3/1000</f>
        <v>23.19</v>
      </c>
      <c r="G17" s="51">
        <f t="shared" si="0"/>
        <v>1</v>
      </c>
      <c r="I17">
        <v>13000</v>
      </c>
    </row>
    <row r="18" spans="2:11" ht="15.6" x14ac:dyDescent="0.3">
      <c r="B18" s="1" t="s">
        <v>29</v>
      </c>
      <c r="C18" s="2"/>
      <c r="D18" s="7">
        <v>1</v>
      </c>
      <c r="E18" s="12">
        <v>19.989999999999998</v>
      </c>
      <c r="F18" s="13">
        <f>(D18*E18)*$C$3/1000</f>
        <v>19.989999999999998</v>
      </c>
      <c r="G18" s="51">
        <f t="shared" si="0"/>
        <v>1</v>
      </c>
    </row>
    <row r="19" spans="2:11" ht="15.6" x14ac:dyDescent="0.3">
      <c r="B19" s="20" t="s">
        <v>63</v>
      </c>
      <c r="C19" s="2"/>
      <c r="D19" s="18"/>
      <c r="E19" s="19"/>
      <c r="F19" s="2"/>
    </row>
    <row r="20" spans="2:11" ht="15.6" x14ac:dyDescent="0.3">
      <c r="B20" s="21" t="s">
        <v>11</v>
      </c>
      <c r="C20" s="2" t="s">
        <v>12</v>
      </c>
      <c r="D20" s="7">
        <v>250</v>
      </c>
      <c r="E20" s="12">
        <v>0.33</v>
      </c>
      <c r="F20" s="13">
        <f>(D20*E20)*$C$3/1000</f>
        <v>82.5</v>
      </c>
      <c r="G20" s="51">
        <f t="shared" si="0"/>
        <v>250</v>
      </c>
    </row>
    <row r="21" spans="2:11" ht="15.6" x14ac:dyDescent="0.3">
      <c r="B21" s="21" t="s">
        <v>13</v>
      </c>
      <c r="C21" s="2"/>
      <c r="D21" s="17">
        <v>1</v>
      </c>
      <c r="E21" s="12">
        <v>75</v>
      </c>
      <c r="F21" s="13">
        <f>(D21*E21)*$C$3/1000</f>
        <v>75</v>
      </c>
      <c r="G21" s="51">
        <f t="shared" si="0"/>
        <v>1</v>
      </c>
    </row>
    <row r="22" spans="2:11" ht="15.6" x14ac:dyDescent="0.3">
      <c r="B22" s="21" t="s">
        <v>33</v>
      </c>
      <c r="C22" s="5" t="s">
        <v>14</v>
      </c>
      <c r="D22" s="22">
        <v>10</v>
      </c>
      <c r="E22" s="23">
        <v>4.5</v>
      </c>
      <c r="F22" s="13">
        <f>(D22*E22)*$C$3/1000</f>
        <v>45</v>
      </c>
      <c r="G22" s="51">
        <f t="shared" si="0"/>
        <v>10</v>
      </c>
    </row>
    <row r="23" spans="2:11" ht="15.6" x14ac:dyDescent="0.3">
      <c r="B23" s="3" t="s">
        <v>34</v>
      </c>
      <c r="C23" s="2" t="s">
        <v>15</v>
      </c>
      <c r="D23" s="11">
        <v>1000</v>
      </c>
      <c r="E23" s="12">
        <f>17.11/100</f>
        <v>0.1711</v>
      </c>
      <c r="F23" s="13">
        <f>(D23*E23)*$C$3/1000</f>
        <v>171.1</v>
      </c>
      <c r="G23" s="51">
        <f t="shared" si="0"/>
        <v>1000</v>
      </c>
    </row>
    <row r="24" spans="2:11" ht="15.6" x14ac:dyDescent="0.3">
      <c r="B24" s="3" t="s">
        <v>35</v>
      </c>
      <c r="C24" s="2" t="s">
        <v>16</v>
      </c>
      <c r="D24" s="11">
        <v>1000</v>
      </c>
      <c r="E24" s="12">
        <f>55.97/(6*300)</f>
        <v>3.1094444444444445E-2</v>
      </c>
      <c r="F24" s="13">
        <f>(D24*E24/3)*$C$3/1000</f>
        <v>10.364814814814816</v>
      </c>
      <c r="G24" s="51">
        <f t="shared" si="0"/>
        <v>1000</v>
      </c>
      <c r="K24" s="48"/>
    </row>
    <row r="25" spans="2:11" ht="15.6" x14ac:dyDescent="0.3">
      <c r="B25" s="3" t="s">
        <v>38</v>
      </c>
      <c r="C25" s="24" t="s">
        <v>36</v>
      </c>
      <c r="D25" s="25">
        <v>80</v>
      </c>
      <c r="E25" s="26">
        <v>4.9800000000000004</v>
      </c>
      <c r="F25" s="13">
        <f>(D25*E25/3)*$C$3/1000</f>
        <v>132.80000000000001</v>
      </c>
      <c r="G25" s="51">
        <f t="shared" si="0"/>
        <v>80</v>
      </c>
    </row>
    <row r="26" spans="2:11" ht="15.6" x14ac:dyDescent="0.3">
      <c r="B26" s="3" t="s">
        <v>39</v>
      </c>
      <c r="C26" s="5" t="s">
        <v>17</v>
      </c>
      <c r="D26" s="17">
        <v>120</v>
      </c>
      <c r="E26" s="12">
        <v>0</v>
      </c>
      <c r="F26" s="13">
        <f>(D26*E26)*$C$3/1000</f>
        <v>0</v>
      </c>
      <c r="G26" s="51">
        <f t="shared" si="0"/>
        <v>120</v>
      </c>
    </row>
    <row r="27" spans="2:11" ht="15.6" x14ac:dyDescent="0.3">
      <c r="B27" s="3" t="s">
        <v>45</v>
      </c>
      <c r="C27" s="2" t="s">
        <v>44</v>
      </c>
      <c r="D27" s="17">
        <f>20*D36</f>
        <v>300</v>
      </c>
      <c r="E27" s="35">
        <v>0.72499999999999998</v>
      </c>
      <c r="F27" s="13">
        <f>(D27*E27)*$C$3/1000</f>
        <v>217.5</v>
      </c>
      <c r="G27" s="51">
        <f t="shared" si="0"/>
        <v>300</v>
      </c>
    </row>
    <row r="28" spans="2:11" ht="15.6" x14ac:dyDescent="0.3">
      <c r="B28" s="3" t="s">
        <v>40</v>
      </c>
      <c r="C28" s="2" t="s">
        <v>46</v>
      </c>
      <c r="D28" s="17">
        <v>25</v>
      </c>
      <c r="E28" s="12">
        <v>3.4449999999999998</v>
      </c>
      <c r="F28" s="13">
        <f>(D28*E28)*$C$3/1000</f>
        <v>86.125</v>
      </c>
      <c r="G28" s="52">
        <f t="shared" si="0"/>
        <v>25</v>
      </c>
    </row>
    <row r="29" spans="2:11" ht="15.6" x14ac:dyDescent="0.3">
      <c r="B29" s="66" t="s">
        <v>18</v>
      </c>
      <c r="C29" s="66"/>
      <c r="D29" s="66"/>
      <c r="E29" s="66"/>
      <c r="F29" s="36">
        <f>SUM(F14:F28)</f>
        <v>941.5398148148148</v>
      </c>
      <c r="G29" s="48"/>
    </row>
    <row r="30" spans="2:11" ht="15.6" x14ac:dyDescent="0.3">
      <c r="B30" s="41"/>
      <c r="C30" s="41"/>
      <c r="D30" s="41"/>
      <c r="E30" s="41" t="s">
        <v>50</v>
      </c>
      <c r="F30" s="38">
        <f>F11-F29</f>
        <v>402.4601851851852</v>
      </c>
      <c r="G30" s="48"/>
    </row>
    <row r="31" spans="2:11" ht="15.6" x14ac:dyDescent="0.3">
      <c r="B31" s="3"/>
      <c r="C31" s="5"/>
      <c r="D31" s="2"/>
      <c r="E31" s="13"/>
      <c r="F31" s="5"/>
    </row>
    <row r="32" spans="2:11" ht="15.6" x14ac:dyDescent="0.3">
      <c r="B32" s="8" t="s">
        <v>19</v>
      </c>
      <c r="C32" s="10" t="s">
        <v>3</v>
      </c>
      <c r="D32" s="28" t="s">
        <v>4</v>
      </c>
      <c r="E32" s="29" t="s">
        <v>5</v>
      </c>
      <c r="F32" s="30" t="s">
        <v>6</v>
      </c>
      <c r="G32" s="30"/>
    </row>
    <row r="33" spans="1:7" ht="15.6" x14ac:dyDescent="0.3">
      <c r="B33" s="3" t="s">
        <v>52</v>
      </c>
      <c r="C33" s="17" t="s">
        <v>20</v>
      </c>
      <c r="D33" s="31">
        <v>1</v>
      </c>
      <c r="E33" s="26">
        <f>(2500-500)/7</f>
        <v>285.71428571428572</v>
      </c>
      <c r="F33" s="27">
        <f>D33*E33</f>
        <v>285.71428571428572</v>
      </c>
    </row>
    <row r="34" spans="1:7" ht="15.6" x14ac:dyDescent="0.3">
      <c r="B34" s="3" t="s">
        <v>51</v>
      </c>
      <c r="C34" s="17" t="s">
        <v>21</v>
      </c>
      <c r="D34" s="31">
        <v>1</v>
      </c>
      <c r="E34" s="26">
        <f>(3500-750)/10</f>
        <v>275</v>
      </c>
      <c r="F34" s="27">
        <f>D34*E34</f>
        <v>275</v>
      </c>
    </row>
    <row r="35" spans="1:7" ht="15.6" x14ac:dyDescent="0.3">
      <c r="B35" s="3" t="s">
        <v>48</v>
      </c>
      <c r="C35" s="17" t="s">
        <v>47</v>
      </c>
      <c r="D35" s="31">
        <v>1</v>
      </c>
      <c r="E35" s="26">
        <v>267.85000000000002</v>
      </c>
      <c r="F35" s="27">
        <f>E35</f>
        <v>267.85000000000002</v>
      </c>
    </row>
    <row r="36" spans="1:7" ht="15.6" x14ac:dyDescent="0.3">
      <c r="B36" s="3" t="s">
        <v>43</v>
      </c>
      <c r="C36" s="17" t="s">
        <v>41</v>
      </c>
      <c r="D36" s="17">
        <v>15</v>
      </c>
      <c r="E36" s="12">
        <f>F36/D36</f>
        <v>8.3333333333333339</v>
      </c>
      <c r="F36" s="13">
        <f>(50+5*D36)</f>
        <v>125</v>
      </c>
    </row>
    <row r="37" spans="1:7" ht="15.6" x14ac:dyDescent="0.3">
      <c r="B37" s="3" t="s">
        <v>42</v>
      </c>
      <c r="C37" s="17" t="s">
        <v>17</v>
      </c>
      <c r="D37" s="39">
        <f>5*15+2*15</f>
        <v>105</v>
      </c>
      <c r="E37" s="40">
        <v>0</v>
      </c>
      <c r="F37" s="13">
        <f>(D37*E37)</f>
        <v>0</v>
      </c>
    </row>
    <row r="38" spans="1:7" ht="15.6" x14ac:dyDescent="0.3">
      <c r="B38" s="3" t="s">
        <v>53</v>
      </c>
      <c r="C38" s="17"/>
      <c r="D38" s="31">
        <v>0</v>
      </c>
      <c r="E38" s="26"/>
      <c r="F38" s="27">
        <f>E38*D38</f>
        <v>0</v>
      </c>
    </row>
    <row r="39" spans="1:7" ht="15.6" x14ac:dyDescent="0.3">
      <c r="B39" s="3" t="s">
        <v>49</v>
      </c>
      <c r="C39" s="17"/>
      <c r="D39" s="31">
        <v>0</v>
      </c>
      <c r="E39" s="26"/>
      <c r="F39" s="27">
        <f>E39*D39</f>
        <v>0</v>
      </c>
    </row>
    <row r="40" spans="1:7" ht="15.6" x14ac:dyDescent="0.3">
      <c r="B40" s="67" t="s">
        <v>22</v>
      </c>
      <c r="C40" s="67"/>
      <c r="D40" s="67"/>
      <c r="E40" s="68"/>
      <c r="F40" s="32">
        <f>SUM(F33:F39)</f>
        <v>953.5642857142858</v>
      </c>
    </row>
    <row r="41" spans="1:7" ht="16.2" thickBot="1" x14ac:dyDescent="0.35">
      <c r="B41" s="69" t="s">
        <v>23</v>
      </c>
      <c r="C41" s="69"/>
      <c r="D41" s="69"/>
      <c r="E41" s="69"/>
      <c r="F41" s="33">
        <f>F40+F29</f>
        <v>1895.1041005291006</v>
      </c>
      <c r="G41" s="48"/>
    </row>
    <row r="42" spans="1:7" ht="16.8" thickTop="1" thickBot="1" x14ac:dyDescent="0.35">
      <c r="B42" s="3"/>
      <c r="C42" s="5"/>
      <c r="D42" s="2"/>
      <c r="E42" s="13"/>
      <c r="F42" s="5"/>
    </row>
    <row r="43" spans="1:7" ht="16.8" thickTop="1" thickBot="1" x14ac:dyDescent="0.35">
      <c r="B43" s="70" t="s">
        <v>24</v>
      </c>
      <c r="C43" s="70"/>
      <c r="D43" s="70"/>
      <c r="E43" s="70"/>
      <c r="F43" s="34">
        <f>F11-F41</f>
        <v>-551.10410052910061</v>
      </c>
    </row>
    <row r="44" spans="1:7" ht="18.600000000000001" thickTop="1" x14ac:dyDescent="0.35">
      <c r="B44" s="42"/>
      <c r="C44" s="42"/>
      <c r="D44" s="42"/>
      <c r="E44" s="43" t="s">
        <v>54</v>
      </c>
      <c r="F44" s="44">
        <f>ROUNDUP((F40/(F30*1000/C3)),0)</f>
        <v>3</v>
      </c>
    </row>
    <row r="45" spans="1:7" ht="18" x14ac:dyDescent="0.35">
      <c r="B45" s="45"/>
      <c r="C45" s="45"/>
      <c r="D45" s="45"/>
      <c r="E45" s="46" t="s">
        <v>56</v>
      </c>
      <c r="F45" s="47">
        <f>F41/((D9+D10)*C3/1000)</f>
        <v>3.9481335427689594</v>
      </c>
    </row>
    <row r="46" spans="1:7" x14ac:dyDescent="0.3">
      <c r="A46">
        <v>1</v>
      </c>
    </row>
    <row r="47" spans="1:7" x14ac:dyDescent="0.3">
      <c r="A47">
        <v>2</v>
      </c>
      <c r="B47" t="s">
        <v>26</v>
      </c>
    </row>
    <row r="48" spans="1:7" x14ac:dyDescent="0.3">
      <c r="A48">
        <v>3</v>
      </c>
      <c r="B48" t="s">
        <v>28</v>
      </c>
    </row>
    <row r="49" spans="1:2" x14ac:dyDescent="0.3">
      <c r="A49">
        <v>4</v>
      </c>
      <c r="B49" t="s">
        <v>31</v>
      </c>
    </row>
    <row r="50" spans="1:2" x14ac:dyDescent="0.3">
      <c r="B50" t="s">
        <v>37</v>
      </c>
    </row>
    <row r="53" spans="1:2" x14ac:dyDescent="0.3">
      <c r="B53" t="s">
        <v>70</v>
      </c>
    </row>
  </sheetData>
  <mergeCells count="5">
    <mergeCell ref="B29:E29"/>
    <mergeCell ref="B40:E40"/>
    <mergeCell ref="B41:E41"/>
    <mergeCell ref="B43:E43"/>
    <mergeCell ref="B2:G2"/>
  </mergeCells>
  <dataValidations count="1">
    <dataValidation type="list" allowBlank="1" showInputMessage="1" showErrorMessage="1" sqref="C3" xr:uid="{EF1AC852-FEFF-4BE0-9F30-FDD77F70DBD7}">
      <formula1>I4:I17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FE7C-331C-42EA-BC1A-94BC9E515135}">
  <sheetPr>
    <pageSetUpPr fitToPage="1"/>
  </sheetPr>
  <dimension ref="B2:G53"/>
  <sheetViews>
    <sheetView tabSelected="1" topLeftCell="A50" workbookViewId="0">
      <selection activeCell="C53" sqref="C53"/>
    </sheetView>
  </sheetViews>
  <sheetFormatPr defaultRowHeight="14.4" x14ac:dyDescent="0.3"/>
  <cols>
    <col min="2" max="2" width="2" bestFit="1" customWidth="1"/>
    <col min="3" max="3" width="70.5546875" customWidth="1"/>
    <col min="4" max="4" width="25.33203125" bestFit="1" customWidth="1"/>
    <col min="5" max="5" width="9.6640625" bestFit="1" customWidth="1"/>
    <col min="6" max="6" width="17.5546875" customWidth="1"/>
    <col min="7" max="7" width="15.109375" bestFit="1" customWidth="1"/>
  </cols>
  <sheetData>
    <row r="2" spans="3:7" ht="21" x14ac:dyDescent="0.3">
      <c r="C2" s="72" t="s">
        <v>55</v>
      </c>
      <c r="D2" s="72"/>
      <c r="E2" s="72"/>
      <c r="F2" s="72"/>
      <c r="G2" s="72"/>
    </row>
    <row r="3" spans="3:7" ht="15.6" x14ac:dyDescent="0.3">
      <c r="C3" s="1" t="s">
        <v>0</v>
      </c>
      <c r="D3" s="53">
        <v>1000</v>
      </c>
      <c r="E3" s="3" t="s">
        <v>1</v>
      </c>
      <c r="F3" s="4"/>
      <c r="G3" s="5"/>
    </row>
    <row r="4" spans="3:7" ht="15.6" x14ac:dyDescent="0.3">
      <c r="C4" s="1" t="s">
        <v>58</v>
      </c>
      <c r="D4" s="53">
        <v>80</v>
      </c>
      <c r="E4" t="s">
        <v>25</v>
      </c>
      <c r="G4" s="5"/>
    </row>
    <row r="5" spans="3:7" ht="15.6" x14ac:dyDescent="0.3">
      <c r="C5" s="1" t="s">
        <v>27</v>
      </c>
      <c r="D5" s="6">
        <v>0.75</v>
      </c>
      <c r="G5" s="5"/>
    </row>
    <row r="6" spans="3:7" ht="15.6" x14ac:dyDescent="0.3">
      <c r="C6" s="1" t="s">
        <v>57</v>
      </c>
      <c r="D6" s="7">
        <v>8</v>
      </c>
      <c r="G6" s="5"/>
    </row>
    <row r="7" spans="3:7" ht="15.6" x14ac:dyDescent="0.3">
      <c r="C7" s="3"/>
      <c r="D7" s="5"/>
      <c r="E7" s="5"/>
      <c r="F7" s="4"/>
      <c r="G7" s="5"/>
    </row>
    <row r="8" spans="3:7" ht="15.6" x14ac:dyDescent="0.3">
      <c r="C8" s="8" t="s">
        <v>2</v>
      </c>
      <c r="D8" s="9" t="s">
        <v>68</v>
      </c>
      <c r="E8" s="10" t="s">
        <v>4</v>
      </c>
      <c r="F8" s="54" t="s">
        <v>5</v>
      </c>
      <c r="G8" s="9" t="s">
        <v>6</v>
      </c>
    </row>
    <row r="9" spans="3:7" ht="15.6" x14ac:dyDescent="0.3">
      <c r="C9" s="1" t="s">
        <v>66</v>
      </c>
      <c r="D9" s="59">
        <v>0.6</v>
      </c>
      <c r="E9" s="11">
        <f>D4*D5*D6*D9</f>
        <v>288</v>
      </c>
      <c r="F9" s="12">
        <v>4</v>
      </c>
      <c r="G9" s="13">
        <f>E9*F9</f>
        <v>1152</v>
      </c>
    </row>
    <row r="10" spans="3:7" ht="15.6" x14ac:dyDescent="0.3">
      <c r="C10" s="57" t="s">
        <v>67</v>
      </c>
      <c r="D10" s="60">
        <v>0.4</v>
      </c>
      <c r="E10" s="11">
        <f>D4*D5*D6*D10</f>
        <v>192</v>
      </c>
      <c r="F10" s="12">
        <v>1</v>
      </c>
      <c r="G10" s="58">
        <f>E10*F10</f>
        <v>192</v>
      </c>
    </row>
    <row r="11" spans="3:7" ht="15.6" x14ac:dyDescent="0.3">
      <c r="C11" s="1"/>
      <c r="D11" s="64" t="s">
        <v>69</v>
      </c>
      <c r="E11" s="49">
        <f>SUM(E9:E10)</f>
        <v>480</v>
      </c>
      <c r="F11" s="56" t="s">
        <v>65</v>
      </c>
      <c r="G11" s="13">
        <f>SUM(G9:G10)</f>
        <v>1344</v>
      </c>
    </row>
    <row r="12" spans="3:7" ht="15.6" x14ac:dyDescent="0.3">
      <c r="C12" s="3"/>
      <c r="D12" s="5"/>
      <c r="E12" s="2"/>
      <c r="F12" s="13"/>
      <c r="G12" s="5"/>
    </row>
    <row r="13" spans="3:7" ht="15.6" x14ac:dyDescent="0.3">
      <c r="C13" s="37" t="s">
        <v>7</v>
      </c>
      <c r="D13" s="9" t="s">
        <v>3</v>
      </c>
      <c r="E13" s="14" t="s">
        <v>4</v>
      </c>
      <c r="F13" s="15" t="s">
        <v>5</v>
      </c>
      <c r="G13" s="9" t="s">
        <v>6</v>
      </c>
    </row>
    <row r="14" spans="3:7" ht="15.6" x14ac:dyDescent="0.3">
      <c r="C14" s="1" t="s">
        <v>64</v>
      </c>
      <c r="D14" s="2" t="s">
        <v>8</v>
      </c>
      <c r="E14" s="16">
        <f>D4</f>
        <v>80</v>
      </c>
      <c r="F14" s="12">
        <v>0.5</v>
      </c>
      <c r="G14" s="13">
        <f>E14*F14</f>
        <v>40</v>
      </c>
    </row>
    <row r="15" spans="3:7" ht="15.6" x14ac:dyDescent="0.3">
      <c r="C15" s="1" t="s">
        <v>62</v>
      </c>
      <c r="D15" s="2" t="s">
        <v>10</v>
      </c>
      <c r="E15" s="17">
        <v>1</v>
      </c>
      <c r="F15" s="12">
        <v>15</v>
      </c>
      <c r="G15" s="13">
        <f t="shared" ref="G15:G16" si="0">E15*F15</f>
        <v>15</v>
      </c>
    </row>
    <row r="16" spans="3:7" ht="15.6" x14ac:dyDescent="0.3">
      <c r="C16" s="1" t="s">
        <v>32</v>
      </c>
      <c r="D16" s="2"/>
      <c r="E16" s="7">
        <v>1</v>
      </c>
      <c r="F16" s="12">
        <v>22.97</v>
      </c>
      <c r="G16" s="13">
        <f t="shared" si="0"/>
        <v>22.97</v>
      </c>
    </row>
    <row r="17" spans="3:7" ht="15.6" x14ac:dyDescent="0.3">
      <c r="C17" s="1" t="s">
        <v>30</v>
      </c>
      <c r="D17" s="2"/>
      <c r="E17" s="7">
        <v>1</v>
      </c>
      <c r="F17" s="12">
        <v>23.19</v>
      </c>
      <c r="G17" s="19">
        <f>F17*E17</f>
        <v>23.19</v>
      </c>
    </row>
    <row r="18" spans="3:7" ht="15.6" x14ac:dyDescent="0.3">
      <c r="C18" s="1" t="s">
        <v>29</v>
      </c>
      <c r="D18" s="2"/>
      <c r="E18" s="7">
        <v>1</v>
      </c>
      <c r="F18" s="12">
        <v>19.989999999999998</v>
      </c>
      <c r="G18" s="19">
        <f>F18*E18</f>
        <v>19.989999999999998</v>
      </c>
    </row>
    <row r="19" spans="3:7" ht="15.6" x14ac:dyDescent="0.3">
      <c r="C19" s="20" t="s">
        <v>63</v>
      </c>
      <c r="D19" s="2"/>
      <c r="E19" s="18"/>
      <c r="F19" s="19"/>
      <c r="G19" s="2"/>
    </row>
    <row r="20" spans="3:7" ht="15.6" x14ac:dyDescent="0.3">
      <c r="C20" s="21" t="s">
        <v>11</v>
      </c>
      <c r="D20" s="2" t="s">
        <v>12</v>
      </c>
      <c r="E20" s="7">
        <v>250</v>
      </c>
      <c r="F20" s="12">
        <v>0.33</v>
      </c>
      <c r="G20" s="13">
        <f t="shared" ref="G20:G21" si="1">E20*F20</f>
        <v>82.5</v>
      </c>
    </row>
    <row r="21" spans="3:7" ht="15.6" x14ac:dyDescent="0.3">
      <c r="C21" s="21" t="s">
        <v>13</v>
      </c>
      <c r="D21" s="2"/>
      <c r="E21" s="17">
        <v>1</v>
      </c>
      <c r="F21" s="12">
        <v>75</v>
      </c>
      <c r="G21" s="13">
        <f t="shared" si="1"/>
        <v>75</v>
      </c>
    </row>
    <row r="22" spans="3:7" ht="15.6" x14ac:dyDescent="0.3">
      <c r="C22" s="21" t="s">
        <v>33</v>
      </c>
      <c r="D22" s="5" t="s">
        <v>14</v>
      </c>
      <c r="E22" s="22">
        <v>10</v>
      </c>
      <c r="F22" s="23">
        <v>4.5</v>
      </c>
      <c r="G22" s="4">
        <f>E22*F22</f>
        <v>45</v>
      </c>
    </row>
    <row r="23" spans="3:7" ht="15.6" x14ac:dyDescent="0.3">
      <c r="C23" s="3" t="s">
        <v>34</v>
      </c>
      <c r="D23" s="2" t="s">
        <v>15</v>
      </c>
      <c r="E23" s="11">
        <v>1000</v>
      </c>
      <c r="F23" s="12">
        <f>17.11/100</f>
        <v>0.1711</v>
      </c>
      <c r="G23" s="13">
        <f>F23*E23</f>
        <v>171.1</v>
      </c>
    </row>
    <row r="24" spans="3:7" ht="15.6" x14ac:dyDescent="0.3">
      <c r="C24" s="3" t="s">
        <v>35</v>
      </c>
      <c r="D24" s="2" t="s">
        <v>16</v>
      </c>
      <c r="E24" s="11">
        <v>1000</v>
      </c>
      <c r="F24" s="12">
        <f>55.97/(6*300)</f>
        <v>3.1094444444444445E-2</v>
      </c>
      <c r="G24" s="13">
        <f>E24*F24/3</f>
        <v>10.364814814814816</v>
      </c>
    </row>
    <row r="25" spans="3:7" ht="15.6" x14ac:dyDescent="0.3">
      <c r="C25" s="3" t="s">
        <v>38</v>
      </c>
      <c r="D25" s="24" t="s">
        <v>36</v>
      </c>
      <c r="E25" s="25">
        <v>80</v>
      </c>
      <c r="F25" s="26">
        <v>4.9800000000000004</v>
      </c>
      <c r="G25" s="27">
        <f>E25*F25/3</f>
        <v>132.80000000000001</v>
      </c>
    </row>
    <row r="26" spans="3:7" ht="15.6" x14ac:dyDescent="0.3">
      <c r="C26" s="3" t="s">
        <v>39</v>
      </c>
      <c r="D26" s="5" t="s">
        <v>17</v>
      </c>
      <c r="E26" s="17">
        <v>120</v>
      </c>
      <c r="F26" s="12">
        <v>0</v>
      </c>
      <c r="G26" s="4">
        <f t="shared" ref="G26" si="2">E26*F26</f>
        <v>0</v>
      </c>
    </row>
    <row r="27" spans="3:7" ht="15.6" x14ac:dyDescent="0.3">
      <c r="C27" s="3" t="s">
        <v>45</v>
      </c>
      <c r="D27" s="2" t="s">
        <v>44</v>
      </c>
      <c r="E27" s="17">
        <f>20*E36</f>
        <v>300</v>
      </c>
      <c r="F27" s="35">
        <v>0.72499999999999998</v>
      </c>
      <c r="G27" s="13">
        <f>F27*E27</f>
        <v>217.5</v>
      </c>
    </row>
    <row r="28" spans="3:7" ht="15.6" x14ac:dyDescent="0.3">
      <c r="C28" s="3" t="s">
        <v>40</v>
      </c>
      <c r="D28" s="2" t="s">
        <v>46</v>
      </c>
      <c r="E28" s="17">
        <v>25</v>
      </c>
      <c r="F28" s="12">
        <v>3.4449999999999998</v>
      </c>
      <c r="G28" s="13">
        <f t="shared" ref="G28" si="3">E28*F28</f>
        <v>86.125</v>
      </c>
    </row>
    <row r="29" spans="3:7" ht="15.6" x14ac:dyDescent="0.3">
      <c r="C29" s="66" t="s">
        <v>18</v>
      </c>
      <c r="D29" s="66"/>
      <c r="E29" s="66"/>
      <c r="F29" s="66"/>
      <c r="G29" s="36">
        <f>SUM(G14:G28)</f>
        <v>941.5398148148148</v>
      </c>
    </row>
    <row r="30" spans="3:7" ht="15.6" x14ac:dyDescent="0.3">
      <c r="C30" s="41"/>
      <c r="D30" s="41"/>
      <c r="E30" s="41"/>
      <c r="F30" s="41" t="s">
        <v>50</v>
      </c>
      <c r="G30" s="38">
        <f>G11-G29</f>
        <v>402.4601851851852</v>
      </c>
    </row>
    <row r="31" spans="3:7" ht="15.6" x14ac:dyDescent="0.3">
      <c r="C31" s="3"/>
      <c r="D31" s="5"/>
      <c r="E31" s="2"/>
      <c r="F31" s="13"/>
      <c r="G31" s="5"/>
    </row>
    <row r="32" spans="3:7" ht="15.6" x14ac:dyDescent="0.3">
      <c r="C32" s="8" t="s">
        <v>19</v>
      </c>
      <c r="D32" s="10" t="s">
        <v>3</v>
      </c>
      <c r="E32" s="28" t="s">
        <v>4</v>
      </c>
      <c r="F32" s="29" t="s">
        <v>5</v>
      </c>
      <c r="G32" s="30" t="s">
        <v>6</v>
      </c>
    </row>
    <row r="33" spans="2:7" ht="15.6" x14ac:dyDescent="0.3">
      <c r="C33" s="3" t="s">
        <v>52</v>
      </c>
      <c r="D33" s="17" t="s">
        <v>20</v>
      </c>
      <c r="E33" s="31">
        <v>1</v>
      </c>
      <c r="F33" s="26">
        <f>(2500-500)/7</f>
        <v>285.71428571428572</v>
      </c>
      <c r="G33" s="27">
        <f>E33*F33</f>
        <v>285.71428571428572</v>
      </c>
    </row>
    <row r="34" spans="2:7" ht="15.6" x14ac:dyDescent="0.3">
      <c r="C34" s="3" t="s">
        <v>51</v>
      </c>
      <c r="D34" s="17" t="s">
        <v>21</v>
      </c>
      <c r="E34" s="31">
        <v>1</v>
      </c>
      <c r="F34" s="26">
        <f>(3500-750)/10</f>
        <v>275</v>
      </c>
      <c r="G34" s="27">
        <f>E34*F34</f>
        <v>275</v>
      </c>
    </row>
    <row r="35" spans="2:7" ht="15.6" x14ac:dyDescent="0.3">
      <c r="C35" s="3" t="s">
        <v>48</v>
      </c>
      <c r="D35" s="17" t="s">
        <v>47</v>
      </c>
      <c r="E35" s="31">
        <v>1</v>
      </c>
      <c r="F35" s="26">
        <v>267.85000000000002</v>
      </c>
      <c r="G35" s="27">
        <f>F35</f>
        <v>267.85000000000002</v>
      </c>
    </row>
    <row r="36" spans="2:7" ht="15.6" x14ac:dyDescent="0.3">
      <c r="C36" s="3" t="s">
        <v>43</v>
      </c>
      <c r="D36" s="17" t="s">
        <v>41</v>
      </c>
      <c r="E36" s="17">
        <v>15</v>
      </c>
      <c r="F36" s="12">
        <f>G36/E36</f>
        <v>8.3333333333333339</v>
      </c>
      <c r="G36" s="13">
        <f>50+5*E36</f>
        <v>125</v>
      </c>
    </row>
    <row r="37" spans="2:7" ht="15.6" x14ac:dyDescent="0.3">
      <c r="C37" s="3" t="s">
        <v>42</v>
      </c>
      <c r="D37" s="17" t="s">
        <v>17</v>
      </c>
      <c r="E37" s="17">
        <f>5*15+2*15</f>
        <v>105</v>
      </c>
      <c r="F37" s="12">
        <v>0</v>
      </c>
      <c r="G37" s="4">
        <f>F37</f>
        <v>0</v>
      </c>
    </row>
    <row r="38" spans="2:7" ht="15.6" x14ac:dyDescent="0.3">
      <c r="C38" s="3" t="s">
        <v>53</v>
      </c>
      <c r="D38" s="17"/>
      <c r="E38" s="31">
        <v>0</v>
      </c>
      <c r="F38" s="26"/>
      <c r="G38" s="27">
        <f>F38*E38</f>
        <v>0</v>
      </c>
    </row>
    <row r="39" spans="2:7" ht="15.6" x14ac:dyDescent="0.3">
      <c r="C39" s="3" t="s">
        <v>49</v>
      </c>
      <c r="D39" s="17"/>
      <c r="E39" s="31">
        <v>0</v>
      </c>
      <c r="F39" s="26"/>
      <c r="G39" s="27">
        <f>F39*E39</f>
        <v>0</v>
      </c>
    </row>
    <row r="40" spans="2:7" ht="15.6" x14ac:dyDescent="0.3">
      <c r="C40" s="67" t="s">
        <v>22</v>
      </c>
      <c r="D40" s="67"/>
      <c r="E40" s="67"/>
      <c r="F40" s="68"/>
      <c r="G40" s="32">
        <f>SUM(G33:G39)</f>
        <v>953.5642857142858</v>
      </c>
    </row>
    <row r="41" spans="2:7" ht="16.2" thickBot="1" x14ac:dyDescent="0.35">
      <c r="C41" s="69" t="s">
        <v>23</v>
      </c>
      <c r="D41" s="69"/>
      <c r="E41" s="69"/>
      <c r="F41" s="69"/>
      <c r="G41" s="33">
        <f>G40+G29</f>
        <v>1895.1041005291006</v>
      </c>
    </row>
    <row r="42" spans="2:7" ht="16.8" thickTop="1" thickBot="1" x14ac:dyDescent="0.35">
      <c r="C42" s="3"/>
      <c r="D42" s="5"/>
      <c r="E42" s="2"/>
      <c r="F42" s="13"/>
      <c r="G42" s="5"/>
    </row>
    <row r="43" spans="2:7" ht="16.8" thickTop="1" thickBot="1" x14ac:dyDescent="0.35">
      <c r="C43" s="70" t="s">
        <v>24</v>
      </c>
      <c r="D43" s="70"/>
      <c r="E43" s="70"/>
      <c r="F43" s="70"/>
      <c r="G43" s="34">
        <f>G11-G41</f>
        <v>-551.10410052910061</v>
      </c>
    </row>
    <row r="44" spans="2:7" ht="18.600000000000001" thickTop="1" x14ac:dyDescent="0.35">
      <c r="C44" s="42"/>
      <c r="D44" s="42"/>
      <c r="E44" s="42"/>
      <c r="F44" s="43" t="s">
        <v>54</v>
      </c>
      <c r="G44" s="44">
        <f>ROUNDUP((G40/G30),0)</f>
        <v>3</v>
      </c>
    </row>
    <row r="45" spans="2:7" ht="18" x14ac:dyDescent="0.35">
      <c r="B45">
        <v>1</v>
      </c>
      <c r="C45" s="45"/>
      <c r="D45" s="45"/>
      <c r="E45" s="45"/>
      <c r="F45" s="46" t="s">
        <v>56</v>
      </c>
      <c r="G45" s="47">
        <f>G41/(E9+E10)</f>
        <v>3.9481335427689594</v>
      </c>
    </row>
    <row r="46" spans="2:7" x14ac:dyDescent="0.3">
      <c r="B46">
        <v>2</v>
      </c>
    </row>
    <row r="47" spans="2:7" x14ac:dyDescent="0.3">
      <c r="B47">
        <v>3</v>
      </c>
      <c r="C47" t="s">
        <v>26</v>
      </c>
    </row>
    <row r="48" spans="2:7" x14ac:dyDescent="0.3">
      <c r="B48">
        <v>4</v>
      </c>
      <c r="C48" t="s">
        <v>28</v>
      </c>
    </row>
    <row r="49" spans="3:3" x14ac:dyDescent="0.3">
      <c r="C49" t="s">
        <v>31</v>
      </c>
    </row>
    <row r="50" spans="3:3" x14ac:dyDescent="0.3">
      <c r="C50" t="s">
        <v>37</v>
      </c>
    </row>
    <row r="53" spans="3:3" x14ac:dyDescent="0.3">
      <c r="C53" t="s">
        <v>70</v>
      </c>
    </row>
  </sheetData>
  <mergeCells count="5">
    <mergeCell ref="C40:F40"/>
    <mergeCell ref="C41:F41"/>
    <mergeCell ref="C43:F43"/>
    <mergeCell ref="C2:G2"/>
    <mergeCell ref="C29:F29"/>
  </mergeCells>
  <pageMargins left="0.7" right="0.7" top="0.75" bottom="0.75" header="0.3" footer="0.3"/>
  <pageSetup scale="6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Wolaver, Ty</dc:creator>
  <cp:lastModifiedBy>Czachorowski, Jaclyn</cp:lastModifiedBy>
  <cp:lastPrinted>2026-05-21T18:09:20Z</cp:lastPrinted>
  <dcterms:created xsi:type="dcterms:W3CDTF">2026-05-20T13:24:16Z</dcterms:created>
  <dcterms:modified xsi:type="dcterms:W3CDTF">2026-05-27T14:05:14Z</dcterms:modified>
</cp:coreProperties>
</file>