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5\"/>
    </mc:Choice>
  </mc:AlternateContent>
  <xr:revisionPtr revIDLastSave="0" documentId="13_ncr:1_{261E6383-F341-4D17-8B74-440F0F7B3E5B}" xr6:coauthVersionLast="47" xr6:coauthVersionMax="47" xr10:uidLastSave="{00000000-0000-0000-0000-000000000000}"/>
  <bookViews>
    <workbookView xWindow="20370" yWindow="-120" windowWidth="29040" windowHeight="15840" xr2:uid="{6229439B-EDB1-476E-B4EA-DAAD1F7BE1D1}"/>
  </bookViews>
  <sheets>
    <sheet name="Estimated" sheetId="4" r:id="rId1"/>
    <sheet name="Actual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" l="1"/>
  <c r="E53" i="5"/>
  <c r="E54" i="5"/>
  <c r="E55" i="5"/>
  <c r="E56" i="5"/>
  <c r="E57" i="5"/>
  <c r="E58" i="5"/>
  <c r="E29" i="5"/>
  <c r="E30" i="5"/>
  <c r="E31" i="5"/>
  <c r="E32" i="5"/>
  <c r="E33" i="5"/>
  <c r="E34" i="5"/>
  <c r="E35" i="5"/>
  <c r="E36" i="5"/>
  <c r="E37" i="5"/>
  <c r="E71" i="5"/>
  <c r="D68" i="5"/>
  <c r="E68" i="5" s="1"/>
  <c r="D67" i="5"/>
  <c r="E67" i="5" s="1"/>
  <c r="D66" i="5"/>
  <c r="E66" i="5" s="1"/>
  <c r="E61" i="5"/>
  <c r="E60" i="5"/>
  <c r="E59" i="5"/>
  <c r="E51" i="5"/>
  <c r="E50" i="5"/>
  <c r="E49" i="5"/>
  <c r="E48" i="5"/>
  <c r="H36" i="5"/>
  <c r="H37" i="5" s="1"/>
  <c r="E47" i="5"/>
  <c r="E46" i="5"/>
  <c r="E45" i="5"/>
  <c r="E44" i="5"/>
  <c r="H32" i="5"/>
  <c r="F74" i="5" s="1"/>
  <c r="E43" i="5"/>
  <c r="E28" i="5"/>
  <c r="E27" i="5"/>
  <c r="D26" i="5"/>
  <c r="E26" i="5" s="1"/>
  <c r="D25" i="5"/>
  <c r="E25" i="5" s="1"/>
  <c r="D24" i="5"/>
  <c r="E24" i="5" s="1"/>
  <c r="D23" i="5"/>
  <c r="E23" i="5" s="1"/>
  <c r="D22" i="5"/>
  <c r="E22" i="5" s="1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B38" i="5" l="1"/>
  <c r="E38" i="5" s="1"/>
  <c r="E39" i="5" s="1"/>
  <c r="E62" i="5"/>
  <c r="E55" i="4"/>
  <c r="E52" i="4"/>
  <c r="D52" i="4"/>
  <c r="D51" i="4"/>
  <c r="E51" i="4"/>
  <c r="D50" i="4"/>
  <c r="E50" i="4"/>
  <c r="E45" i="4"/>
  <c r="E44" i="4"/>
  <c r="E43" i="4"/>
  <c r="E42" i="4"/>
  <c r="E41" i="4"/>
  <c r="E40" i="4"/>
  <c r="E39" i="4"/>
  <c r="H38" i="4"/>
  <c r="H39" i="4"/>
  <c r="E38" i="4"/>
  <c r="E37" i="4"/>
  <c r="E36" i="4"/>
  <c r="E35" i="4"/>
  <c r="H34" i="4"/>
  <c r="F58" i="4"/>
  <c r="E34" i="4"/>
  <c r="E28" i="4"/>
  <c r="E27" i="4"/>
  <c r="D26" i="4"/>
  <c r="E26" i="4"/>
  <c r="E25" i="4"/>
  <c r="D25" i="4"/>
  <c r="E24" i="4"/>
  <c r="D24" i="4"/>
  <c r="D23" i="4"/>
  <c r="E23" i="4"/>
  <c r="D22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K10" i="5" l="1"/>
  <c r="K18" i="5" s="1"/>
  <c r="J10" i="5"/>
  <c r="J18" i="5" s="1"/>
  <c r="I10" i="5"/>
  <c r="I18" i="5" s="1"/>
  <c r="E70" i="5"/>
  <c r="K9" i="5"/>
  <c r="K17" i="5" s="1"/>
  <c r="I9" i="5"/>
  <c r="I17" i="5" s="1"/>
  <c r="I8" i="5"/>
  <c r="I16" i="5" s="1"/>
  <c r="J9" i="5"/>
  <c r="J17" i="5" s="1"/>
  <c r="K8" i="5"/>
  <c r="K16" i="5" s="1"/>
  <c r="J8" i="5"/>
  <c r="J16" i="5" s="1"/>
  <c r="E46" i="4"/>
  <c r="B29" i="4"/>
  <c r="E29" i="4" s="1"/>
  <c r="E30" i="4" s="1"/>
  <c r="I24" i="5" l="1"/>
  <c r="I23" i="5"/>
  <c r="I22" i="5"/>
  <c r="E72" i="5"/>
  <c r="K10" i="4"/>
  <c r="K18" i="4" s="1"/>
  <c r="J8" i="4"/>
  <c r="J16" i="4" s="1"/>
  <c r="K9" i="4"/>
  <c r="K17" i="4" s="1"/>
  <c r="I9" i="4"/>
  <c r="I17" i="4" s="1"/>
  <c r="K8" i="4"/>
  <c r="K16" i="4" s="1"/>
  <c r="J9" i="4"/>
  <c r="J17" i="4" s="1"/>
  <c r="E54" i="4"/>
  <c r="I22" i="4" s="1"/>
  <c r="I10" i="4"/>
  <c r="I18" i="4" s="1"/>
  <c r="J10" i="4"/>
  <c r="J18" i="4" s="1"/>
  <c r="I8" i="4"/>
  <c r="I16" i="4" s="1"/>
  <c r="I23" i="4" l="1"/>
  <c r="E56" i="4"/>
  <c r="I24" i="4"/>
</calcChain>
</file>

<file path=xl/sharedStrings.xml><?xml version="1.0" encoding="utf-8"?>
<sst xmlns="http://schemas.openxmlformats.org/spreadsheetml/2006/main" count="306" uniqueCount="102">
  <si>
    <t>SEEDLESS WATERMELONS ON PLASTIC MULCH W/ DRIP IRRIGATION</t>
  </si>
  <si>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</si>
  <si>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</si>
  <si>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</si>
  <si>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</si>
  <si>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</si>
  <si>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</si>
  <si>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</si>
  <si>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</si>
  <si>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</si>
  <si>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</si>
  <si>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</si>
  <si>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</si>
  <si>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</si>
  <si>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</si>
  <si>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Yield Assumptions (lbs)</t>
  </si>
  <si>
    <t>Potassium</t>
  </si>
  <si>
    <t>Excellent</t>
  </si>
  <si>
    <t>Lime (prorated over 3 years)</t>
  </si>
  <si>
    <t>ton</t>
  </si>
  <si>
    <t>Expected</t>
  </si>
  <si>
    <t>Sulfur</t>
  </si>
  <si>
    <t>Poor</t>
  </si>
  <si>
    <t>Seedless Watermelon Seed</t>
  </si>
  <si>
    <t>thousand</t>
  </si>
  <si>
    <t>Pollenizer Watermelon Seed</t>
  </si>
  <si>
    <t>Plastic Mulch</t>
  </si>
  <si>
    <t>foot</t>
  </si>
  <si>
    <t>Laying Mulch</t>
  </si>
  <si>
    <t>acre</t>
  </si>
  <si>
    <t>Planting Labor</t>
  </si>
  <si>
    <t>hour</t>
  </si>
  <si>
    <t>Transplant Production</t>
  </si>
  <si>
    <t>72-cell tray</t>
  </si>
  <si>
    <t>Harvest Labor</t>
  </si>
  <si>
    <t>Removing Mulch</t>
  </si>
  <si>
    <t xml:space="preserve">Field Description: This information is used to determine the number of  </t>
  </si>
  <si>
    <t>Mulch Disposal</t>
  </si>
  <si>
    <t>transplants, yards of plastic mulch, and the amount of herbicide applied.</t>
  </si>
  <si>
    <t>pint</t>
  </si>
  <si>
    <t xml:space="preserve">Rows are on </t>
  </si>
  <si>
    <t>foot centers</t>
  </si>
  <si>
    <t>ounce</t>
  </si>
  <si>
    <t>There are</t>
  </si>
  <si>
    <t>feet between plants in the row</t>
  </si>
  <si>
    <t>Insecticide - Admire</t>
  </si>
  <si>
    <t>mulched feet/acre</t>
  </si>
  <si>
    <t>Fungicide - Bravo</t>
  </si>
  <si>
    <t xml:space="preserve">Seeded pollenizers planted </t>
  </si>
  <si>
    <t>between</t>
  </si>
  <si>
    <t>seedless plants in the row.</t>
  </si>
  <si>
    <t>Ratio of</t>
  </si>
  <si>
    <t>pollenizer per</t>
  </si>
  <si>
    <t xml:space="preserve">seedless </t>
  </si>
  <si>
    <t>Fungicide-Manzate</t>
  </si>
  <si>
    <t>seedless plants per acre</t>
  </si>
  <si>
    <t>Fungicide-Zampro</t>
  </si>
  <si>
    <t>pollenizers per acre</t>
  </si>
  <si>
    <t>Insecticide - Portal</t>
  </si>
  <si>
    <t>*Enter either "between" or "in place of" in the yellow-highlighted box.</t>
  </si>
  <si>
    <t>Bee Rental</t>
  </si>
  <si>
    <t>colony</t>
  </si>
  <si>
    <t>Total Variable Costs</t>
  </si>
  <si>
    <t>FIXED COSTS (custom rates are used as a proxy for field operation costs)</t>
  </si>
  <si>
    <t>application</t>
  </si>
  <si>
    <t>Transplanter Operation</t>
  </si>
  <si>
    <t>Hooded Sprayer</t>
  </si>
  <si>
    <t>Tillage/Chisel</t>
  </si>
  <si>
    <t>Disk &amp; Harrowing</t>
  </si>
  <si>
    <t>Mowing Vines</t>
  </si>
  <si>
    <t>Lifting Mulch</t>
  </si>
  <si>
    <t>acre-inch</t>
  </si>
  <si>
    <t>Total Fixed Costs</t>
  </si>
  <si>
    <t>Yield Dependent Costs</t>
  </si>
  <si>
    <t>Harvest Cost at Excellent Yield</t>
  </si>
  <si>
    <t>lb</t>
  </si>
  <si>
    <t>Harvest Cost at Expected Yield</t>
  </si>
  <si>
    <t>Harvest Cost at Poor Yield</t>
  </si>
  <si>
    <t>of the broadcast acre rate.</t>
  </si>
  <si>
    <t xml:space="preserve">Irrigation Fixed costs include the cost of drip tape, layflat, fittings, pump, manifold, and installation labor.  </t>
  </si>
  <si>
    <r>
      <t>Herbicide - Sandea</t>
    </r>
    <r>
      <rPr>
        <vertAlign val="superscript"/>
        <sz val="10"/>
        <rFont val="Calibri"/>
        <family val="2"/>
      </rPr>
      <t>1</t>
    </r>
  </si>
  <si>
    <r>
      <t>Herbicide-Dual Magnum</t>
    </r>
    <r>
      <rPr>
        <vertAlign val="superscript"/>
        <sz val="10"/>
        <rFont val="Calibri"/>
        <family val="2"/>
      </rPr>
      <t>1</t>
    </r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</si>
  <si>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</si>
  <si>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 xml:space="preserve">Applying Fertilizer </t>
    </r>
    <r>
      <rPr>
        <b/>
        <sz val="10"/>
        <rFont val="Calibri"/>
        <family val="2"/>
      </rPr>
      <t>Broadcast</t>
    </r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</si>
  <si>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</si>
  <si>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</si>
  <si>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r>
      <t>Fixed Irrigation Costs</t>
    </r>
    <r>
      <rPr>
        <vertAlign val="superscript"/>
        <sz val="10"/>
        <rFont val="Calibri"/>
        <family val="2"/>
      </rPr>
      <t>3</t>
    </r>
  </si>
  <si>
    <r>
      <t>Irrigation Operating Costs</t>
    </r>
    <r>
      <rPr>
        <vertAlign val="superscript"/>
        <sz val="10"/>
        <rFont val="Calibri"/>
        <family val="2"/>
      </rPr>
      <t>3</t>
    </r>
  </si>
  <si>
    <r>
      <t xml:space="preserve">1 </t>
    </r>
    <r>
      <rPr>
        <sz val="10"/>
        <rFont val="Calibri"/>
        <family val="2"/>
      </rPr>
      <t>Herbicides applied with hooded sprayer between plastic beds. Calculate rate as</t>
    </r>
  </si>
  <si>
    <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</si>
  <si>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3</t>
    </r>
    <r>
      <rPr>
        <sz val="10"/>
        <rFont val="Calibri"/>
        <family val="2"/>
      </rPr>
      <t xml:space="preserve"> Irrigation costs are highly variable depending on the size of the system and the cost of the system components.</t>
    </r>
  </si>
  <si>
    <r>
      <t>acres unmulched/A</t>
    </r>
    <r>
      <rPr>
        <vertAlign val="superscript"/>
        <sz val="10"/>
        <rFont val="Calibri"/>
        <family val="2"/>
      </rPr>
      <t>1</t>
    </r>
  </si>
  <si>
    <t>Land Charge</t>
  </si>
  <si>
    <t>Total Costs</t>
  </si>
  <si>
    <t>Expected Gross Revenue at Average Price</t>
  </si>
  <si>
    <t>Net Returns</t>
  </si>
  <si>
    <t>Brokerage Fee:</t>
  </si>
  <si>
    <t>Profit or Loss Per Pound On Example Costs</t>
  </si>
  <si>
    <t xml:space="preserve">Breakeven Price at Different </t>
  </si>
  <si>
    <t>Price Assumptions ($/lb)</t>
  </si>
  <si>
    <t>Insecticide-Agri-Mek</t>
  </si>
  <si>
    <t>University of Delaware Cooperative Extension Vegetable Crop Budget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</si>
</sst>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&quot;$&quot;#,##0.000"/>
    <numFmt numFmtId="166" formatCode="0.0%"/>
    <numFmt numFmtId="167" formatCode="0.00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0"/>
      <color indexed="9"/>
      <name val="Calibri"/>
      <family val="2"/>
    </font>
    <font>
      <b/>
      <u/>
      <sz val="12"/>
      <name val="Calibri"/>
      <family val="2"/>
    </font>
    <font>
      <b/>
      <sz val="10"/>
      <color indexed="57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u/>
      <sz val="10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5" fillId="0" borderId="1" xfId="0" applyFont="1" applyBorder="1"/>
    <xf numFmtId="0" fontId="4" fillId="3" borderId="2" xfId="0" applyFont="1" applyFill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7" fillId="2" borderId="2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2" borderId="0" xfId="0" applyFont="1" applyFill="1"/>
    <xf numFmtId="164" fontId="5" fillId="0" borderId="1" xfId="0" applyNumberFormat="1" applyFont="1" applyBorder="1"/>
    <xf numFmtId="0" fontId="5" fillId="3" borderId="3" xfId="0" applyFont="1" applyFill="1" applyBorder="1"/>
    <xf numFmtId="0" fontId="7" fillId="2" borderId="0" xfId="0" applyFont="1" applyFill="1"/>
    <xf numFmtId="0" fontId="7" fillId="2" borderId="3" xfId="0" applyFont="1" applyFill="1" applyBorder="1"/>
    <xf numFmtId="0" fontId="10" fillId="2" borderId="3" xfId="0" applyFont="1" applyFill="1" applyBorder="1"/>
    <xf numFmtId="0" fontId="11" fillId="0" borderId="0" xfId="0" applyFont="1"/>
    <xf numFmtId="0" fontId="4" fillId="0" borderId="0" xfId="0" applyFont="1"/>
    <xf numFmtId="1" fontId="5" fillId="0" borderId="1" xfId="0" applyNumberFormat="1" applyFont="1" applyBorder="1"/>
    <xf numFmtId="165" fontId="5" fillId="0" borderId="1" xfId="0" applyNumberFormat="1" applyFont="1" applyBorder="1"/>
    <xf numFmtId="0" fontId="5" fillId="0" borderId="3" xfId="0" applyFont="1" applyBorder="1"/>
    <xf numFmtId="0" fontId="11" fillId="0" borderId="3" xfId="0" applyFont="1" applyBorder="1"/>
    <xf numFmtId="10" fontId="5" fillId="0" borderId="1" xfId="0" applyNumberFormat="1" applyFont="1" applyBorder="1"/>
    <xf numFmtId="3" fontId="5" fillId="0" borderId="1" xfId="0" applyNumberFormat="1" applyFont="1" applyBorder="1"/>
    <xf numFmtId="0" fontId="5" fillId="2" borderId="0" xfId="0" applyFont="1" applyFill="1"/>
    <xf numFmtId="164" fontId="4" fillId="3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3" borderId="4" xfId="0" applyNumberFormat="1" applyFont="1" applyFill="1" applyBorder="1"/>
    <xf numFmtId="164" fontId="5" fillId="0" borderId="0" xfId="0" applyNumberFormat="1" applyFont="1"/>
    <xf numFmtId="164" fontId="5" fillId="0" borderId="4" xfId="0" applyNumberFormat="1" applyFont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2" borderId="5" xfId="0" applyFont="1" applyFill="1" applyBorder="1"/>
    <xf numFmtId="0" fontId="4" fillId="5" borderId="2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3" fontId="4" fillId="0" borderId="4" xfId="0" applyNumberFormat="1" applyFont="1" applyBorder="1"/>
    <xf numFmtId="0" fontId="5" fillId="3" borderId="9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67" fontId="4" fillId="3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5" fillId="3" borderId="0" xfId="0" applyFont="1" applyFill="1"/>
    <xf numFmtId="1" fontId="4" fillId="3" borderId="9" xfId="0" applyNumberFormat="1" applyFont="1" applyFill="1" applyBorder="1" applyAlignment="1">
      <alignment horizontal="center"/>
    </xf>
    <xf numFmtId="0" fontId="7" fillId="0" borderId="0" xfId="0" applyFont="1"/>
    <xf numFmtId="0" fontId="4" fillId="5" borderId="10" xfId="0" applyFont="1" applyFill="1" applyBorder="1" applyAlignment="1">
      <alignment horizontal="center"/>
    </xf>
    <xf numFmtId="8" fontId="4" fillId="0" borderId="11" xfId="0" applyNumberFormat="1" applyFont="1" applyBorder="1" applyAlignment="1">
      <alignment horizontal="center"/>
    </xf>
    <xf numFmtId="0" fontId="5" fillId="3" borderId="13" xfId="0" applyFont="1" applyFill="1" applyBorder="1"/>
    <xf numFmtId="9" fontId="5" fillId="0" borderId="0" xfId="0" applyNumberFormat="1" applyFont="1" applyAlignment="1">
      <alignment horizontal="center"/>
    </xf>
    <xf numFmtId="0" fontId="5" fillId="3" borderId="8" xfId="0" applyFont="1" applyFill="1" applyBorder="1"/>
    <xf numFmtId="0" fontId="3" fillId="2" borderId="0" xfId="0" applyFont="1" applyFill="1" applyAlignment="1">
      <alignment horizontal="center"/>
    </xf>
    <xf numFmtId="164" fontId="4" fillId="5" borderId="10" xfId="0" applyNumberFormat="1" applyFont="1" applyFill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7" fillId="2" borderId="14" xfId="0" applyFont="1" applyFill="1" applyBorder="1"/>
    <xf numFmtId="0" fontId="5" fillId="3" borderId="12" xfId="0" applyFont="1" applyFill="1" applyBorder="1"/>
    <xf numFmtId="0" fontId="5" fillId="3" borderId="14" xfId="0" applyFont="1" applyFill="1" applyBorder="1"/>
    <xf numFmtId="0" fontId="4" fillId="3" borderId="2" xfId="0" applyFont="1" applyFill="1" applyBorder="1"/>
    <xf numFmtId="0" fontId="4" fillId="3" borderId="3" xfId="0" applyFont="1" applyFill="1" applyBorder="1" applyAlignment="1">
      <alignment horizontal="right"/>
    </xf>
    <xf numFmtId="10" fontId="5" fillId="3" borderId="4" xfId="0" applyNumberFormat="1" applyFont="1" applyFill="1" applyBorder="1"/>
    <xf numFmtId="0" fontId="5" fillId="3" borderId="6" xfId="0" applyFont="1" applyFill="1" applyBorder="1"/>
    <xf numFmtId="0" fontId="14" fillId="0" borderId="0" xfId="0" applyFont="1"/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3" fillId="6" borderId="5" xfId="0" applyFont="1" applyFill="1" applyBorder="1"/>
    <xf numFmtId="0" fontId="3" fillId="6" borderId="0" xfId="0" applyFont="1" applyFill="1"/>
    <xf numFmtId="0" fontId="4" fillId="0" borderId="2" xfId="0" applyFont="1" applyBorder="1"/>
    <xf numFmtId="0" fontId="15" fillId="6" borderId="0" xfId="0" applyFont="1" applyFill="1"/>
    <xf numFmtId="164" fontId="5" fillId="6" borderId="0" xfId="0" applyNumberFormat="1" applyFont="1" applyFill="1"/>
    <xf numFmtId="3" fontId="4" fillId="0" borderId="1" xfId="0" applyNumberFormat="1" applyFont="1" applyBorder="1"/>
    <xf numFmtId="0" fontId="4" fillId="3" borderId="0" xfId="0" applyFont="1" applyFill="1"/>
    <xf numFmtId="3" fontId="4" fillId="0" borderId="0" xfId="0" applyNumberFormat="1" applyFont="1"/>
    <xf numFmtId="164" fontId="5" fillId="7" borderId="1" xfId="0" applyNumberFormat="1" applyFont="1" applyFill="1" applyBorder="1"/>
    <xf numFmtId="0" fontId="5" fillId="7" borderId="1" xfId="0" applyFont="1" applyFill="1" applyBorder="1"/>
    <xf numFmtId="1" fontId="5" fillId="7" borderId="1" xfId="0" applyNumberFormat="1" applyFont="1" applyFill="1" applyBorder="1"/>
    <xf numFmtId="10" fontId="5" fillId="7" borderId="1" xfId="0" applyNumberFormat="1" applyFont="1" applyFill="1" applyBorder="1"/>
    <xf numFmtId="0" fontId="1" fillId="0" borderId="0" xfId="0" applyFont="1" applyAlignment="1">
      <alignment horizontal="center"/>
    </xf>
    <xf numFmtId="164" fontId="5" fillId="0" borderId="1" xfId="0" applyNumberFormat="1" applyFont="1" applyFill="1" applyBorder="1"/>
    <xf numFmtId="0" fontId="5" fillId="0" borderId="0" xfId="0" applyFont="1" applyFill="1"/>
    <xf numFmtId="164" fontId="1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center"/>
    </xf>
    <xf numFmtId="0" fontId="0" fillId="0" borderId="0" xfId="0" applyFill="1"/>
    <xf numFmtId="164" fontId="5" fillId="0" borderId="0" xfId="0" applyNumberFormat="1" applyFont="1" applyFill="1"/>
    <xf numFmtId="166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5" fillId="7" borderId="1" xfId="0" applyNumberFormat="1" applyFont="1" applyFill="1" applyBorder="1" applyAlignment="1">
      <alignment horizontal="center"/>
    </xf>
    <xf numFmtId="3" fontId="4" fillId="7" borderId="4" xfId="0" applyNumberFormat="1" applyFont="1" applyFill="1" applyBorder="1"/>
    <xf numFmtId="8" fontId="4" fillId="7" borderId="11" xfId="0" applyNumberFormat="1" applyFont="1" applyFill="1" applyBorder="1" applyAlignment="1">
      <alignment horizontal="center"/>
    </xf>
    <xf numFmtId="164" fontId="4" fillId="7" borderId="11" xfId="0" applyNumberFormat="1" applyFont="1" applyFill="1" applyBorder="1" applyAlignment="1">
      <alignment horizontal="center"/>
    </xf>
    <xf numFmtId="3" fontId="4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48A2-003B-485C-BA8E-A4CD5A6EC35B}">
  <sheetPr>
    <pageSetUpPr fitToPage="1"/>
  </sheetPr>
  <dimension ref="A1:K65"/>
  <sheetViews>
    <sheetView tabSelected="1" workbookViewId="0"/>
  </sheetViews>
  <sheetFormatPr defaultRowHeight="15" x14ac:dyDescent="0.25"/>
  <cols>
    <col min="1" max="1" width="26" customWidth="1"/>
    <col min="2" max="2" width="10.85546875" customWidth="1"/>
    <col min="5" max="5" width="9.85546875" bestFit="1" customWidth="1"/>
    <col min="6" max="6" width="9.140625" style="87"/>
    <col min="7" max="7" width="10.85546875" customWidth="1"/>
    <col min="8" max="8" width="11" customWidth="1"/>
    <col min="9" max="11" width="10.7109375" customWidth="1"/>
  </cols>
  <sheetData>
    <row r="1" spans="1:11" ht="15.75" x14ac:dyDescent="0.25">
      <c r="A1" s="1" t="s">
        <v>0</v>
      </c>
      <c r="B1" s="11"/>
      <c r="C1" s="20"/>
      <c r="D1" s="11"/>
      <c r="E1" s="7"/>
      <c r="F1" s="83"/>
      <c r="G1" s="7"/>
      <c r="H1" s="7"/>
      <c r="I1" s="7"/>
      <c r="J1" s="7"/>
      <c r="K1" s="7"/>
    </row>
    <row r="2" spans="1:11" ht="15.75" x14ac:dyDescent="0.25">
      <c r="A2" s="2" t="s">
        <v>101</v>
      </c>
      <c r="B2" s="11"/>
      <c r="C2" s="11"/>
      <c r="D2" s="11"/>
      <c r="E2" s="7"/>
      <c r="F2" s="83"/>
      <c r="G2" s="7"/>
      <c r="H2" s="7"/>
      <c r="I2" s="7"/>
      <c r="J2" s="7"/>
      <c r="K2" s="7"/>
    </row>
    <row r="3" spans="1:11" ht="15.75" x14ac:dyDescent="0.25">
      <c r="A3" s="1" t="s">
        <v>1</v>
      </c>
      <c r="B3" s="12"/>
      <c r="C3" s="7"/>
      <c r="D3" s="11"/>
      <c r="E3" s="7"/>
      <c r="F3" s="83"/>
      <c r="G3" s="7"/>
      <c r="H3" s="7"/>
      <c r="I3" s="7"/>
      <c r="J3" s="7"/>
      <c r="K3" s="7"/>
    </row>
    <row r="4" spans="1:11" ht="15.75" x14ac:dyDescent="0.25">
      <c r="A4" s="3" t="s">
        <v>2</v>
      </c>
      <c r="B4" s="13"/>
      <c r="C4" s="13"/>
      <c r="D4" s="13"/>
      <c r="E4" s="27"/>
      <c r="F4" s="83"/>
      <c r="G4" s="7"/>
      <c r="H4" s="7"/>
      <c r="I4" s="81" t="s">
        <v>3</v>
      </c>
      <c r="J4" s="81"/>
      <c r="K4" s="81"/>
    </row>
    <row r="5" spans="1:11" x14ac:dyDescent="0.25">
      <c r="A5" s="4" t="s">
        <v>4</v>
      </c>
      <c r="B5" s="4" t="s">
        <v>5</v>
      </c>
      <c r="C5" s="4" t="s">
        <v>6</v>
      </c>
      <c r="D5" s="4" t="s">
        <v>7</v>
      </c>
      <c r="E5" s="28" t="s">
        <v>8</v>
      </c>
      <c r="F5" s="84"/>
      <c r="G5" s="7"/>
      <c r="H5" s="7"/>
      <c r="I5" s="16"/>
      <c r="J5" s="56" t="s">
        <v>99</v>
      </c>
      <c r="K5" s="59"/>
    </row>
    <row r="6" spans="1:11" x14ac:dyDescent="0.25">
      <c r="A6" s="5" t="s">
        <v>9</v>
      </c>
      <c r="B6" s="5" t="s">
        <v>10</v>
      </c>
      <c r="C6" s="14">
        <v>0.6</v>
      </c>
      <c r="D6" s="5">
        <v>150</v>
      </c>
      <c r="E6" s="29">
        <f t="shared" ref="E6:E13" si="0">(C6*D6)</f>
        <v>90</v>
      </c>
      <c r="F6" s="85"/>
      <c r="G6" s="20"/>
      <c r="H6" s="20"/>
      <c r="I6" s="51" t="s">
        <v>11</v>
      </c>
      <c r="J6" s="57" t="s">
        <v>12</v>
      </c>
      <c r="K6" s="51" t="s">
        <v>13</v>
      </c>
    </row>
    <row r="7" spans="1:11" x14ac:dyDescent="0.25">
      <c r="A7" s="5" t="s">
        <v>14</v>
      </c>
      <c r="B7" s="5" t="s">
        <v>10</v>
      </c>
      <c r="C7" s="14">
        <v>0.73</v>
      </c>
      <c r="D7" s="5">
        <v>50</v>
      </c>
      <c r="E7" s="29">
        <f t="shared" si="0"/>
        <v>36.5</v>
      </c>
      <c r="F7" s="85"/>
      <c r="G7" s="36" t="s">
        <v>15</v>
      </c>
      <c r="H7" s="3"/>
      <c r="I7" s="52">
        <v>0.1575</v>
      </c>
      <c r="J7" s="58">
        <v>0.1275</v>
      </c>
      <c r="K7" s="52">
        <v>6.7500000000000004E-2</v>
      </c>
    </row>
    <row r="8" spans="1:11" x14ac:dyDescent="0.25">
      <c r="A8" s="5" t="s">
        <v>16</v>
      </c>
      <c r="B8" s="5" t="s">
        <v>10</v>
      </c>
      <c r="C8" s="14">
        <v>0.34</v>
      </c>
      <c r="D8" s="5">
        <v>150</v>
      </c>
      <c r="E8" s="29">
        <f t="shared" si="0"/>
        <v>51.000000000000007</v>
      </c>
      <c r="F8" s="85"/>
      <c r="G8" s="37" t="s">
        <v>17</v>
      </c>
      <c r="H8" s="42">
        <v>100000</v>
      </c>
      <c r="I8" s="29">
        <f>(I7*H8)-$E$30-$E$46-$E50-($I$26*(I7*H8))</f>
        <v>7618.4309499999981</v>
      </c>
      <c r="J8" s="29">
        <f>(J7*H8)-$E$30-$E$46-$E50-($I$26*(J7*H8))</f>
        <v>4678.4309499999981</v>
      </c>
      <c r="K8" s="29">
        <f>(K7*H8)-$E$30-$E$46-$E50-($I$26*(K7*H8))</f>
        <v>-1201.569050000001</v>
      </c>
    </row>
    <row r="9" spans="1:11" x14ac:dyDescent="0.25">
      <c r="A9" s="5" t="s">
        <v>18</v>
      </c>
      <c r="B9" s="5" t="s">
        <v>19</v>
      </c>
      <c r="C9" s="14">
        <v>50</v>
      </c>
      <c r="D9" s="5">
        <v>1</v>
      </c>
      <c r="E9" s="29">
        <f t="shared" si="0"/>
        <v>50</v>
      </c>
      <c r="F9" s="85"/>
      <c r="G9" s="37" t="s">
        <v>20</v>
      </c>
      <c r="H9" s="42">
        <v>80000</v>
      </c>
      <c r="I9" s="29">
        <f>(I7*H9)-$E$30-$E$46-$E51-($I$26*(I7*H9))</f>
        <v>5231.4309499999981</v>
      </c>
      <c r="J9" s="29">
        <f>(J7*H9)-$E$30-$E$46-$E51-($I$26*(J7*H9))</f>
        <v>2879.4309499999986</v>
      </c>
      <c r="K9" s="29">
        <f>(K7*H9)-$E$30-$E$46-$E51-($I$26*(K7*H9))</f>
        <v>-1824.569050000001</v>
      </c>
    </row>
    <row r="10" spans="1:11" x14ac:dyDescent="0.25">
      <c r="A10" s="5" t="s">
        <v>21</v>
      </c>
      <c r="B10" s="5" t="s">
        <v>10</v>
      </c>
      <c r="C10" s="14">
        <v>0.65</v>
      </c>
      <c r="D10" s="21">
        <v>20</v>
      </c>
      <c r="E10" s="29">
        <f t="shared" si="0"/>
        <v>13</v>
      </c>
      <c r="F10" s="85"/>
      <c r="G10" s="37" t="s">
        <v>22</v>
      </c>
      <c r="H10" s="42">
        <v>60000</v>
      </c>
      <c r="I10" s="29">
        <f>(I7*H10)-$E$30-$E$46-$E52-($I$26*(I7*H10))</f>
        <v>2844.430949999999</v>
      </c>
      <c r="J10" s="29">
        <f>(J7*H10)-$E$30-$E$46-$E52-($I$26*(J7*H10))</f>
        <v>1080.430949999999</v>
      </c>
      <c r="K10" s="29">
        <f>(K7*H10)-$E$30-$E$46-$E52-($I$26*(K7*H10))</f>
        <v>-2447.5690500000001</v>
      </c>
    </row>
    <row r="11" spans="1:11" x14ac:dyDescent="0.25">
      <c r="A11" s="5" t="s">
        <v>23</v>
      </c>
      <c r="B11" s="5" t="s">
        <v>24</v>
      </c>
      <c r="C11" s="14">
        <v>350</v>
      </c>
      <c r="D11" s="5">
        <v>1.9</v>
      </c>
      <c r="E11" s="29">
        <f t="shared" si="0"/>
        <v>665</v>
      </c>
      <c r="F11" s="85"/>
      <c r="G11" s="7"/>
      <c r="H11" s="76"/>
      <c r="I11" s="35"/>
      <c r="J11" s="35"/>
      <c r="K11" s="35"/>
    </row>
    <row r="12" spans="1:11" ht="15.75" x14ac:dyDescent="0.25">
      <c r="A12" s="5" t="s">
        <v>25</v>
      </c>
      <c r="B12" s="5" t="s">
        <v>24</v>
      </c>
      <c r="C12" s="82">
        <v>184.08</v>
      </c>
      <c r="D12" s="5">
        <v>0.5</v>
      </c>
      <c r="E12" s="29">
        <f t="shared" si="0"/>
        <v>92.04</v>
      </c>
      <c r="F12" s="85"/>
      <c r="H12" s="66" t="s">
        <v>97</v>
      </c>
    </row>
    <row r="13" spans="1:11" x14ac:dyDescent="0.25">
      <c r="A13" s="5" t="s">
        <v>26</v>
      </c>
      <c r="B13" s="5" t="s">
        <v>27</v>
      </c>
      <c r="C13" s="14">
        <v>0.08</v>
      </c>
      <c r="D13" s="5">
        <v>7260</v>
      </c>
      <c r="E13" s="29">
        <f t="shared" si="0"/>
        <v>580.80000000000007</v>
      </c>
      <c r="F13" s="85"/>
      <c r="G13" s="7"/>
      <c r="H13" s="7"/>
      <c r="I13" s="16"/>
      <c r="J13" s="56" t="s">
        <v>99</v>
      </c>
      <c r="K13" s="59"/>
    </row>
    <row r="14" spans="1:11" x14ac:dyDescent="0.25">
      <c r="A14" s="5" t="s">
        <v>28</v>
      </c>
      <c r="B14" s="5" t="s">
        <v>29</v>
      </c>
      <c r="C14" s="14">
        <v>168.28</v>
      </c>
      <c r="D14" s="5">
        <v>1</v>
      </c>
      <c r="E14" s="29">
        <f t="shared" ref="E14:E15" si="1">C14*D14</f>
        <v>168.28</v>
      </c>
      <c r="F14" s="85"/>
      <c r="I14" s="67" t="s">
        <v>11</v>
      </c>
      <c r="J14" s="68" t="s">
        <v>12</v>
      </c>
      <c r="K14" s="67" t="s">
        <v>13</v>
      </c>
    </row>
    <row r="15" spans="1:11" x14ac:dyDescent="0.25">
      <c r="A15" s="5" t="s">
        <v>30</v>
      </c>
      <c r="B15" s="5" t="s">
        <v>31</v>
      </c>
      <c r="C15" s="14">
        <v>17.96</v>
      </c>
      <c r="D15" s="5">
        <v>6</v>
      </c>
      <c r="E15" s="29">
        <f t="shared" si="1"/>
        <v>107.76</v>
      </c>
      <c r="F15" s="85"/>
      <c r="G15" s="69" t="s">
        <v>15</v>
      </c>
      <c r="H15" s="70"/>
      <c r="I15" s="52">
        <v>0.16</v>
      </c>
      <c r="J15" s="58">
        <v>0.13</v>
      </c>
      <c r="K15" s="52">
        <v>7.0000000000000007E-2</v>
      </c>
    </row>
    <row r="16" spans="1:11" x14ac:dyDescent="0.25">
      <c r="A16" s="5" t="s">
        <v>32</v>
      </c>
      <c r="B16" s="5" t="s">
        <v>33</v>
      </c>
      <c r="C16" s="14">
        <v>14.5</v>
      </c>
      <c r="D16" s="5">
        <v>35</v>
      </c>
      <c r="E16" s="29">
        <f>(C16*D16)</f>
        <v>507.5</v>
      </c>
      <c r="F16" s="85"/>
      <c r="G16" s="71" t="s">
        <v>17</v>
      </c>
      <c r="H16" s="74">
        <v>100000</v>
      </c>
      <c r="I16" s="14">
        <f>I8/$H$8</f>
        <v>7.6184309499999978E-2</v>
      </c>
      <c r="J16" s="14">
        <f>J8/$H$8</f>
        <v>4.6784309499999982E-2</v>
      </c>
      <c r="K16" s="14">
        <f>K8/$H$8</f>
        <v>-1.2015690500000009E-2</v>
      </c>
    </row>
    <row r="17" spans="1:11" x14ac:dyDescent="0.25">
      <c r="A17" s="5" t="s">
        <v>34</v>
      </c>
      <c r="B17" s="5" t="s">
        <v>29</v>
      </c>
      <c r="C17" s="14">
        <v>17.96</v>
      </c>
      <c r="D17" s="5">
        <v>9</v>
      </c>
      <c r="E17" s="29">
        <f>(C17*D17)</f>
        <v>161.64000000000001</v>
      </c>
      <c r="F17" s="85"/>
      <c r="G17" s="71" t="s">
        <v>20</v>
      </c>
      <c r="H17" s="74">
        <v>80000</v>
      </c>
      <c r="I17" s="14">
        <f>I9/$H$9</f>
        <v>6.5392886874999973E-2</v>
      </c>
      <c r="J17" s="14">
        <f>J9/$H$9</f>
        <v>3.5992886874999984E-2</v>
      </c>
      <c r="K17" s="14">
        <f>K9/$H$9</f>
        <v>-2.2807113125000011E-2</v>
      </c>
    </row>
    <row r="18" spans="1:11" x14ac:dyDescent="0.25">
      <c r="A18" s="5" t="s">
        <v>35</v>
      </c>
      <c r="B18" s="5" t="s">
        <v>29</v>
      </c>
      <c r="C18" s="14">
        <v>124.65</v>
      </c>
      <c r="D18" s="5">
        <v>1</v>
      </c>
      <c r="E18" s="29">
        <f>C18*D18</f>
        <v>124.65</v>
      </c>
      <c r="F18" s="85"/>
      <c r="G18" s="71" t="s">
        <v>22</v>
      </c>
      <c r="H18" s="74">
        <v>60000</v>
      </c>
      <c r="I18" s="14">
        <f>I10/$H$10</f>
        <v>4.7407182499999985E-2</v>
      </c>
      <c r="J18" s="14">
        <f>J10/$H$10</f>
        <v>1.8007182499999982E-2</v>
      </c>
      <c r="K18" s="14">
        <f>K10/$H$10</f>
        <v>-4.0792817500000002E-2</v>
      </c>
    </row>
    <row r="19" spans="1:11" x14ac:dyDescent="0.25">
      <c r="A19" s="5" t="s">
        <v>37</v>
      </c>
      <c r="B19" s="5" t="s">
        <v>29</v>
      </c>
      <c r="C19" s="14">
        <v>25</v>
      </c>
      <c r="D19" s="5">
        <v>1</v>
      </c>
      <c r="E19" s="29">
        <f t="shared" ref="E19:E27" si="2">C19*D19</f>
        <v>25</v>
      </c>
      <c r="F19" s="85"/>
    </row>
    <row r="20" spans="1:11" ht="15.75" x14ac:dyDescent="0.25">
      <c r="A20" s="5" t="s">
        <v>80</v>
      </c>
      <c r="B20" s="5" t="s">
        <v>42</v>
      </c>
      <c r="C20" s="14">
        <v>38.6</v>
      </c>
      <c r="D20" s="5">
        <v>0.4</v>
      </c>
      <c r="E20" s="29">
        <f t="shared" si="2"/>
        <v>15.440000000000001</v>
      </c>
      <c r="F20" s="85"/>
      <c r="G20" s="72" t="s">
        <v>98</v>
      </c>
      <c r="H20" s="70"/>
      <c r="I20" s="70"/>
    </row>
    <row r="21" spans="1:11" ht="15.75" x14ac:dyDescent="0.25">
      <c r="A21" s="5" t="s">
        <v>81</v>
      </c>
      <c r="B21" s="5" t="s">
        <v>39</v>
      </c>
      <c r="C21" s="14">
        <v>6.88</v>
      </c>
      <c r="D21" s="5">
        <v>0.5</v>
      </c>
      <c r="E21" s="29">
        <f t="shared" si="2"/>
        <v>3.44</v>
      </c>
      <c r="F21" s="85"/>
      <c r="G21" s="69" t="s">
        <v>15</v>
      </c>
      <c r="H21" s="70"/>
      <c r="I21" s="73"/>
    </row>
    <row r="22" spans="1:11" x14ac:dyDescent="0.25">
      <c r="A22" s="5" t="s">
        <v>45</v>
      </c>
      <c r="B22" s="5" t="s">
        <v>42</v>
      </c>
      <c r="C22" s="14">
        <v>1.21</v>
      </c>
      <c r="D22" s="5">
        <f>1*8</f>
        <v>8</v>
      </c>
      <c r="E22" s="29">
        <f t="shared" si="2"/>
        <v>9.68</v>
      </c>
      <c r="F22" s="85"/>
      <c r="G22" s="71" t="s">
        <v>17</v>
      </c>
      <c r="H22" s="74">
        <v>100000</v>
      </c>
      <c r="I22" s="14">
        <f>$E$54/H22</f>
        <v>7.3205690500000004E-2</v>
      </c>
    </row>
    <row r="23" spans="1:11" x14ac:dyDescent="0.25">
      <c r="A23" s="5" t="s">
        <v>47</v>
      </c>
      <c r="B23" s="5" t="s">
        <v>39</v>
      </c>
      <c r="C23" s="14">
        <v>3.13</v>
      </c>
      <c r="D23" s="5">
        <f>7*3</f>
        <v>21</v>
      </c>
      <c r="E23" s="29">
        <f t="shared" si="2"/>
        <v>65.73</v>
      </c>
      <c r="F23" s="85"/>
      <c r="G23" s="71" t="s">
        <v>20</v>
      </c>
      <c r="H23" s="74">
        <v>80000</v>
      </c>
      <c r="I23" s="14">
        <f>$E$54/H23</f>
        <v>9.1507113124999997E-2</v>
      </c>
    </row>
    <row r="24" spans="1:11" x14ac:dyDescent="0.25">
      <c r="A24" s="5" t="s">
        <v>100</v>
      </c>
      <c r="B24" s="5" t="s">
        <v>42</v>
      </c>
      <c r="C24" s="14">
        <v>2.2799999999999998</v>
      </c>
      <c r="D24" s="5">
        <f>7*3</f>
        <v>21</v>
      </c>
      <c r="E24" s="29">
        <f t="shared" si="2"/>
        <v>47.879999999999995</v>
      </c>
      <c r="F24" s="85"/>
      <c r="G24" s="71" t="s">
        <v>22</v>
      </c>
      <c r="H24" s="74">
        <v>60000</v>
      </c>
      <c r="I24" s="14">
        <f>$E$54/H24</f>
        <v>0.12200948416666667</v>
      </c>
    </row>
    <row r="25" spans="1:11" x14ac:dyDescent="0.25">
      <c r="A25" s="5" t="s">
        <v>54</v>
      </c>
      <c r="B25" s="5" t="s">
        <v>10</v>
      </c>
      <c r="C25" s="14">
        <v>3.05</v>
      </c>
      <c r="D25" s="5">
        <f>3*7</f>
        <v>21</v>
      </c>
      <c r="E25" s="29">
        <f t="shared" si="2"/>
        <v>64.05</v>
      </c>
      <c r="F25" s="85"/>
    </row>
    <row r="26" spans="1:11" x14ac:dyDescent="0.25">
      <c r="A26" s="5" t="s">
        <v>56</v>
      </c>
      <c r="B26" s="5" t="s">
        <v>42</v>
      </c>
      <c r="C26" s="14">
        <v>2.46</v>
      </c>
      <c r="D26" s="5">
        <f>1*14</f>
        <v>14</v>
      </c>
      <c r="E26" s="29">
        <f t="shared" si="2"/>
        <v>34.44</v>
      </c>
      <c r="F26" s="85"/>
      <c r="G26" s="62"/>
      <c r="H26" s="63" t="s">
        <v>96</v>
      </c>
      <c r="I26" s="64">
        <v>0.02</v>
      </c>
      <c r="J26" s="7"/>
      <c r="K26" s="7"/>
    </row>
    <row r="27" spans="1:11" x14ac:dyDescent="0.25">
      <c r="A27" s="5" t="s">
        <v>58</v>
      </c>
      <c r="B27" s="5" t="s">
        <v>39</v>
      </c>
      <c r="C27" s="14">
        <v>14.5</v>
      </c>
      <c r="D27" s="5">
        <v>2</v>
      </c>
      <c r="E27" s="29">
        <f t="shared" si="2"/>
        <v>29</v>
      </c>
      <c r="F27" s="85"/>
      <c r="G27" s="7"/>
      <c r="H27" s="7"/>
      <c r="I27" s="7"/>
      <c r="J27" s="7"/>
      <c r="K27" s="7"/>
    </row>
    <row r="28" spans="1:11" x14ac:dyDescent="0.25">
      <c r="A28" s="5" t="s">
        <v>60</v>
      </c>
      <c r="B28" s="5" t="s">
        <v>61</v>
      </c>
      <c r="C28" s="14">
        <v>80</v>
      </c>
      <c r="D28" s="5">
        <v>1.5</v>
      </c>
      <c r="E28" s="29">
        <f>(C28*D28)</f>
        <v>120</v>
      </c>
      <c r="F28" s="85"/>
      <c r="G28" s="7"/>
      <c r="H28" s="7"/>
      <c r="I28" s="54"/>
      <c r="J28" s="7"/>
      <c r="K28" s="7"/>
    </row>
    <row r="29" spans="1:11" ht="15.75" x14ac:dyDescent="0.25">
      <c r="A29" s="5" t="s">
        <v>82</v>
      </c>
      <c r="B29" s="14">
        <f>SUM(E6:E28)</f>
        <v>3062.8300000000004</v>
      </c>
      <c r="C29" s="21">
        <v>6</v>
      </c>
      <c r="D29" s="25">
        <v>7.0000000000000007E-2</v>
      </c>
      <c r="E29" s="29">
        <f>B29*(C29/12)*D29</f>
        <v>107.19905000000003</v>
      </c>
      <c r="F29" s="86"/>
      <c r="G29" s="7"/>
      <c r="H29" s="7"/>
      <c r="I29" s="54"/>
      <c r="J29" s="7"/>
      <c r="K29" s="7"/>
    </row>
    <row r="30" spans="1:11" x14ac:dyDescent="0.25">
      <c r="A30" s="6" t="s">
        <v>62</v>
      </c>
      <c r="B30" s="15"/>
      <c r="C30" s="15"/>
      <c r="D30" s="15"/>
      <c r="E30" s="30">
        <f>SUM(E6:E29)</f>
        <v>3170.0290500000006</v>
      </c>
      <c r="F30" s="85"/>
      <c r="G30" s="3" t="s">
        <v>36</v>
      </c>
      <c r="H30" s="16"/>
      <c r="I30" s="27"/>
      <c r="J30" s="27"/>
      <c r="K30" s="27"/>
    </row>
    <row r="31" spans="1:11" x14ac:dyDescent="0.25">
      <c r="G31" s="3" t="s">
        <v>38</v>
      </c>
      <c r="H31" s="16"/>
      <c r="I31" s="27"/>
      <c r="J31" s="27"/>
      <c r="K31" s="27"/>
    </row>
    <row r="32" spans="1:11" x14ac:dyDescent="0.25">
      <c r="A32" s="3" t="s">
        <v>63</v>
      </c>
      <c r="B32" s="16"/>
      <c r="C32" s="16"/>
      <c r="D32" s="16"/>
      <c r="E32" s="16"/>
      <c r="F32" s="85"/>
      <c r="G32" s="65" t="s">
        <v>40</v>
      </c>
      <c r="H32" s="44">
        <v>6</v>
      </c>
      <c r="I32" s="55" t="s">
        <v>41</v>
      </c>
      <c r="J32" s="55"/>
      <c r="K32" s="60"/>
    </row>
    <row r="33" spans="1:11" x14ac:dyDescent="0.25">
      <c r="A33" s="4" t="s">
        <v>4</v>
      </c>
      <c r="B33" s="4" t="s">
        <v>5</v>
      </c>
      <c r="C33" s="4" t="s">
        <v>6</v>
      </c>
      <c r="D33" s="4" t="s">
        <v>7</v>
      </c>
      <c r="E33" s="28" t="s">
        <v>8</v>
      </c>
      <c r="F33" s="88"/>
      <c r="G33" s="39" t="s">
        <v>43</v>
      </c>
      <c r="H33" s="45">
        <v>4</v>
      </c>
      <c r="I33" s="48" t="s">
        <v>44</v>
      </c>
      <c r="J33" s="48"/>
      <c r="K33" s="61"/>
    </row>
    <row r="34" spans="1:11" ht="15.75" x14ac:dyDescent="0.25">
      <c r="A34" s="5" t="s">
        <v>83</v>
      </c>
      <c r="B34" s="5" t="s">
        <v>64</v>
      </c>
      <c r="C34" s="14">
        <v>9.93</v>
      </c>
      <c r="D34" s="5">
        <v>1</v>
      </c>
      <c r="E34" s="29">
        <f>C34*D34</f>
        <v>9.93</v>
      </c>
      <c r="F34" s="88"/>
      <c r="G34" s="39" t="s">
        <v>43</v>
      </c>
      <c r="H34" s="46">
        <f>1-(((43560/H32)*3)/43560)</f>
        <v>0.5</v>
      </c>
      <c r="I34" s="48" t="s">
        <v>91</v>
      </c>
      <c r="J34" s="48"/>
      <c r="K34" s="61"/>
    </row>
    <row r="35" spans="1:11" x14ac:dyDescent="0.25">
      <c r="A35" s="5" t="s">
        <v>84</v>
      </c>
      <c r="B35" s="5" t="s">
        <v>64</v>
      </c>
      <c r="C35" s="14">
        <v>10.98</v>
      </c>
      <c r="D35" s="5">
        <v>8</v>
      </c>
      <c r="E35" s="29">
        <f t="shared" ref="E35:E44" si="3">C35*D35</f>
        <v>87.84</v>
      </c>
      <c r="F35" s="83"/>
      <c r="G35" s="39" t="s">
        <v>43</v>
      </c>
      <c r="H35" s="47">
        <v>7260</v>
      </c>
      <c r="I35" s="48" t="s">
        <v>46</v>
      </c>
      <c r="J35" s="48"/>
      <c r="K35" s="61"/>
    </row>
    <row r="36" spans="1:11" x14ac:dyDescent="0.25">
      <c r="A36" s="5" t="s">
        <v>85</v>
      </c>
      <c r="B36" s="5" t="s">
        <v>64</v>
      </c>
      <c r="C36" s="14">
        <v>16.309999999999999</v>
      </c>
      <c r="D36" s="5">
        <v>0</v>
      </c>
      <c r="E36" s="29">
        <f>C36*D36</f>
        <v>0</v>
      </c>
      <c r="F36" s="84"/>
      <c r="G36" s="39" t="s">
        <v>48</v>
      </c>
      <c r="H36" s="48"/>
      <c r="I36" s="75" t="s">
        <v>49</v>
      </c>
      <c r="J36" s="48" t="s">
        <v>50</v>
      </c>
      <c r="K36" s="61"/>
    </row>
    <row r="37" spans="1:11" x14ac:dyDescent="0.25">
      <c r="A37" s="5" t="s">
        <v>65</v>
      </c>
      <c r="B37" s="5" t="s">
        <v>29</v>
      </c>
      <c r="C37" s="14">
        <v>18.850000000000001</v>
      </c>
      <c r="D37" s="5">
        <v>1</v>
      </c>
      <c r="E37" s="29">
        <f>C37*D37</f>
        <v>18.850000000000001</v>
      </c>
      <c r="F37" s="85"/>
      <c r="G37" s="39" t="s">
        <v>51</v>
      </c>
      <c r="H37" s="45">
        <v>1</v>
      </c>
      <c r="I37" s="48" t="s">
        <v>52</v>
      </c>
      <c r="J37" s="45">
        <v>3</v>
      </c>
      <c r="K37" s="61" t="s">
        <v>53</v>
      </c>
    </row>
    <row r="38" spans="1:11" x14ac:dyDescent="0.25">
      <c r="A38" s="5" t="s">
        <v>66</v>
      </c>
      <c r="B38" s="5" t="s">
        <v>64</v>
      </c>
      <c r="C38" s="14">
        <v>33.479999999999997</v>
      </c>
      <c r="D38" s="5">
        <v>1</v>
      </c>
      <c r="E38" s="29">
        <f t="shared" si="3"/>
        <v>33.479999999999997</v>
      </c>
      <c r="F38" s="85"/>
      <c r="G38" s="39" t="s">
        <v>43</v>
      </c>
      <c r="H38" s="47">
        <f>IF(I36="between",43560/H32/H33,43560/H32/H33*((J37/(H37+J37))))</f>
        <v>1815</v>
      </c>
      <c r="I38" s="48" t="s">
        <v>55</v>
      </c>
      <c r="J38" s="48"/>
      <c r="K38" s="61"/>
    </row>
    <row r="39" spans="1:11" x14ac:dyDescent="0.25">
      <c r="A39" s="5" t="s">
        <v>67</v>
      </c>
      <c r="B39" s="5" t="s">
        <v>29</v>
      </c>
      <c r="C39" s="14">
        <v>25.65</v>
      </c>
      <c r="D39" s="5">
        <v>1</v>
      </c>
      <c r="E39" s="29">
        <f t="shared" si="3"/>
        <v>25.65</v>
      </c>
      <c r="F39" s="85"/>
      <c r="G39" s="38" t="s">
        <v>43</v>
      </c>
      <c r="H39" s="49">
        <f>IF(I36="between",H38*(H37/(H37+J37)),43560/H32/H33*(H37/(H37+J37)))</f>
        <v>453.75</v>
      </c>
      <c r="I39" s="43" t="s">
        <v>57</v>
      </c>
      <c r="J39" s="43"/>
      <c r="K39" s="53"/>
    </row>
    <row r="40" spans="1:11" x14ac:dyDescent="0.25">
      <c r="A40" s="5" t="s">
        <v>68</v>
      </c>
      <c r="B40" s="5" t="s">
        <v>29</v>
      </c>
      <c r="C40" s="14">
        <v>21.39</v>
      </c>
      <c r="D40" s="5">
        <v>1</v>
      </c>
      <c r="E40" s="29">
        <f t="shared" si="3"/>
        <v>21.39</v>
      </c>
      <c r="F40" s="85"/>
      <c r="G40" s="7" t="s">
        <v>59</v>
      </c>
      <c r="H40" s="50"/>
      <c r="I40" s="7"/>
      <c r="J40" s="7"/>
      <c r="K40" s="7"/>
    </row>
    <row r="41" spans="1:11" x14ac:dyDescent="0.25">
      <c r="A41" s="5" t="s">
        <v>69</v>
      </c>
      <c r="B41" s="5" t="s">
        <v>29</v>
      </c>
      <c r="C41" s="14">
        <v>13.4</v>
      </c>
      <c r="D41" s="5">
        <v>1</v>
      </c>
      <c r="E41" s="29">
        <f>C41*D41</f>
        <v>13.4</v>
      </c>
      <c r="F41" s="85"/>
      <c r="G41" s="7"/>
      <c r="H41" s="7"/>
      <c r="I41" s="7"/>
      <c r="J41" s="7"/>
      <c r="K41" s="7"/>
    </row>
    <row r="42" spans="1:11" x14ac:dyDescent="0.25">
      <c r="A42" s="5" t="s">
        <v>70</v>
      </c>
      <c r="B42" s="5" t="s">
        <v>29</v>
      </c>
      <c r="C42" s="14">
        <v>20</v>
      </c>
      <c r="D42" s="5">
        <v>1</v>
      </c>
      <c r="E42" s="29">
        <f>C42*D42</f>
        <v>20</v>
      </c>
      <c r="F42" s="85"/>
      <c r="G42" s="7"/>
      <c r="H42" s="7"/>
      <c r="I42" s="7"/>
      <c r="J42" s="7"/>
      <c r="K42" s="7"/>
    </row>
    <row r="43" spans="1:11" ht="15.75" x14ac:dyDescent="0.25">
      <c r="A43" s="5" t="s">
        <v>86</v>
      </c>
      <c r="B43" s="5" t="s">
        <v>29</v>
      </c>
      <c r="C43" s="14">
        <v>250</v>
      </c>
      <c r="D43" s="5">
        <v>1</v>
      </c>
      <c r="E43" s="29">
        <f t="shared" si="3"/>
        <v>250</v>
      </c>
      <c r="F43" s="85"/>
      <c r="G43" s="7"/>
      <c r="H43" s="7"/>
      <c r="I43" s="7"/>
      <c r="J43" s="7"/>
      <c r="K43" s="7"/>
    </row>
    <row r="44" spans="1:11" x14ac:dyDescent="0.25">
      <c r="A44" s="5" t="s">
        <v>92</v>
      </c>
      <c r="B44" s="5" t="s">
        <v>29</v>
      </c>
      <c r="C44" s="14">
        <v>600</v>
      </c>
      <c r="D44" s="5">
        <v>1</v>
      </c>
      <c r="E44" s="29">
        <f t="shared" si="3"/>
        <v>600</v>
      </c>
      <c r="F44" s="85"/>
      <c r="G44" s="7"/>
      <c r="H44" s="7"/>
      <c r="I44" s="7"/>
      <c r="J44" s="7"/>
      <c r="K44" s="7"/>
    </row>
    <row r="45" spans="1:11" ht="15.75" x14ac:dyDescent="0.25">
      <c r="A45" s="5" t="s">
        <v>87</v>
      </c>
      <c r="B45" s="5" t="s">
        <v>71</v>
      </c>
      <c r="C45" s="14">
        <v>8.25</v>
      </c>
      <c r="D45" s="5">
        <v>8</v>
      </c>
      <c r="E45" s="29">
        <f>C45*D45</f>
        <v>66</v>
      </c>
      <c r="F45" s="85"/>
      <c r="G45" s="7"/>
      <c r="H45" s="7"/>
      <c r="I45" s="7"/>
      <c r="J45" s="7"/>
      <c r="K45" s="7"/>
    </row>
    <row r="46" spans="1:11" x14ac:dyDescent="0.25">
      <c r="A46" s="6" t="s">
        <v>72</v>
      </c>
      <c r="B46" s="15"/>
      <c r="C46" s="15"/>
      <c r="D46" s="15"/>
      <c r="E46" s="30">
        <f>SUM(E34:E45)</f>
        <v>1146.54</v>
      </c>
      <c r="F46" s="85"/>
      <c r="G46" s="7"/>
      <c r="H46" s="7"/>
      <c r="I46" s="7"/>
      <c r="J46" s="7"/>
      <c r="K46" s="7"/>
    </row>
    <row r="47" spans="1:11" x14ac:dyDescent="0.25">
      <c r="A47" s="8"/>
      <c r="B47" s="7"/>
      <c r="C47" s="7"/>
      <c r="D47" s="7"/>
      <c r="E47" s="31"/>
      <c r="F47" s="85"/>
      <c r="G47" s="7"/>
      <c r="H47" s="7"/>
      <c r="I47" s="7"/>
      <c r="J47" s="7"/>
      <c r="K47" s="7"/>
    </row>
    <row r="48" spans="1:11" x14ac:dyDescent="0.25">
      <c r="A48" s="3" t="s">
        <v>73</v>
      </c>
      <c r="B48" s="16"/>
      <c r="C48" s="16"/>
      <c r="D48" s="16"/>
      <c r="E48" s="16"/>
      <c r="F48" s="85"/>
      <c r="G48" s="7"/>
      <c r="H48" s="7"/>
      <c r="I48" s="7"/>
      <c r="J48" s="7"/>
      <c r="K48" s="7"/>
    </row>
    <row r="49" spans="1:11" x14ac:dyDescent="0.25">
      <c r="A49" s="4" t="s">
        <v>4</v>
      </c>
      <c r="B49" s="4" t="s">
        <v>5</v>
      </c>
      <c r="C49" s="4" t="s">
        <v>6</v>
      </c>
      <c r="D49" s="4" t="s">
        <v>7</v>
      </c>
      <c r="E49" s="28" t="s">
        <v>8</v>
      </c>
      <c r="F49" s="88"/>
      <c r="G49" s="7"/>
      <c r="H49" s="7"/>
      <c r="I49" s="7"/>
      <c r="J49" s="7"/>
      <c r="K49" s="7"/>
    </row>
    <row r="50" spans="1:11" x14ac:dyDescent="0.25">
      <c r="A50" s="5" t="s">
        <v>74</v>
      </c>
      <c r="B50" s="5" t="s">
        <v>75</v>
      </c>
      <c r="C50" s="22">
        <v>3.5000000000000003E-2</v>
      </c>
      <c r="D50" s="26">
        <f>H8</f>
        <v>100000</v>
      </c>
      <c r="E50" s="29">
        <f>C50*D50</f>
        <v>3500.0000000000005</v>
      </c>
      <c r="F50" s="85"/>
      <c r="G50" s="7"/>
      <c r="H50" s="7"/>
      <c r="I50" s="7"/>
      <c r="J50" s="7"/>
      <c r="K50" s="7"/>
    </row>
    <row r="51" spans="1:11" x14ac:dyDescent="0.25">
      <c r="A51" s="5" t="s">
        <v>76</v>
      </c>
      <c r="B51" s="5" t="s">
        <v>75</v>
      </c>
      <c r="C51" s="22">
        <v>3.5000000000000003E-2</v>
      </c>
      <c r="D51" s="26">
        <f>H9</f>
        <v>80000</v>
      </c>
      <c r="E51" s="29">
        <f>C51*D51</f>
        <v>2800.0000000000005</v>
      </c>
      <c r="F51" s="85"/>
      <c r="G51" s="40"/>
      <c r="H51" s="40"/>
      <c r="I51" s="40"/>
      <c r="J51" s="40"/>
      <c r="K51" s="40"/>
    </row>
    <row r="52" spans="1:11" x14ac:dyDescent="0.25">
      <c r="A52" s="5" t="s">
        <v>77</v>
      </c>
      <c r="B52" s="5" t="s">
        <v>75</v>
      </c>
      <c r="C52" s="22">
        <v>3.5000000000000003E-2</v>
      </c>
      <c r="D52" s="26">
        <f>H10</f>
        <v>60000</v>
      </c>
      <c r="E52" s="29">
        <f>C52*D52</f>
        <v>2100</v>
      </c>
      <c r="F52" s="85"/>
      <c r="G52" s="40"/>
      <c r="H52" s="40"/>
      <c r="I52" s="40"/>
      <c r="J52" s="40"/>
      <c r="K52" s="40"/>
    </row>
    <row r="53" spans="1:11" x14ac:dyDescent="0.25">
      <c r="A53" s="8"/>
      <c r="B53" s="7"/>
      <c r="C53" s="7"/>
      <c r="D53" s="7"/>
      <c r="E53" s="31"/>
      <c r="F53" s="85"/>
      <c r="G53" s="40"/>
      <c r="H53" s="40"/>
      <c r="I53" s="40"/>
      <c r="J53" s="40"/>
      <c r="K53" s="40"/>
    </row>
    <row r="54" spans="1:11" x14ac:dyDescent="0.25">
      <c r="A54" s="9" t="s">
        <v>93</v>
      </c>
      <c r="B54" s="17"/>
      <c r="C54" s="23"/>
      <c r="D54" s="23"/>
      <c r="E54" s="32">
        <f>E30+E46+E51+(E55*I26)</f>
        <v>7320.5690500000001</v>
      </c>
      <c r="F54" s="85"/>
      <c r="G54" s="40"/>
      <c r="H54" s="40"/>
      <c r="I54" s="40"/>
      <c r="J54" s="40"/>
      <c r="K54" s="40"/>
    </row>
    <row r="55" spans="1:11" x14ac:dyDescent="0.25">
      <c r="A55" s="9" t="s">
        <v>94</v>
      </c>
      <c r="B55" s="17"/>
      <c r="C55" s="23"/>
      <c r="D55" s="23"/>
      <c r="E55" s="32">
        <f>H9*J7</f>
        <v>10200</v>
      </c>
      <c r="F55" s="85"/>
      <c r="G55" s="40"/>
      <c r="H55" s="40"/>
      <c r="I55" s="40"/>
      <c r="J55" s="40"/>
      <c r="K55" s="40"/>
    </row>
    <row r="56" spans="1:11" x14ac:dyDescent="0.25">
      <c r="A56" s="9" t="s">
        <v>95</v>
      </c>
      <c r="B56" s="18"/>
      <c r="C56" s="24"/>
      <c r="D56" s="24"/>
      <c r="E56" s="33">
        <f>SUM(E55-E54)</f>
        <v>2879.4309499999999</v>
      </c>
      <c r="F56" s="85"/>
      <c r="G56" s="40"/>
      <c r="H56" s="40"/>
      <c r="I56" s="40"/>
      <c r="J56" s="40"/>
      <c r="K56" s="40"/>
    </row>
    <row r="57" spans="1:11" x14ac:dyDescent="0.25">
      <c r="A57" s="7"/>
      <c r="B57" s="7"/>
      <c r="C57" s="7"/>
      <c r="D57" s="7"/>
      <c r="E57" s="7"/>
      <c r="F57" s="85"/>
      <c r="G57" s="41"/>
      <c r="H57" s="40"/>
      <c r="I57" s="40"/>
      <c r="J57" s="40"/>
      <c r="K57" s="40"/>
    </row>
    <row r="58" spans="1:11" ht="15.75" x14ac:dyDescent="0.25">
      <c r="A58" s="10" t="s">
        <v>88</v>
      </c>
      <c r="B58" s="7"/>
      <c r="C58" s="7"/>
      <c r="D58" s="7"/>
      <c r="E58" s="7"/>
      <c r="F58" s="89">
        <f>H34</f>
        <v>0.5</v>
      </c>
      <c r="G58" s="7" t="s">
        <v>78</v>
      </c>
      <c r="H58" s="7"/>
      <c r="J58" s="40"/>
      <c r="K58" s="40"/>
    </row>
    <row r="59" spans="1:11" x14ac:dyDescent="0.25">
      <c r="A59" s="7"/>
      <c r="B59" s="7"/>
      <c r="C59" s="7"/>
      <c r="D59" s="7"/>
      <c r="E59" s="7"/>
      <c r="F59" s="90"/>
      <c r="G59" s="40"/>
      <c r="H59" s="40"/>
      <c r="I59" s="40"/>
      <c r="J59" s="40"/>
      <c r="K59" s="40"/>
    </row>
    <row r="60" spans="1:11" ht="15.75" x14ac:dyDescent="0.25">
      <c r="A60" s="10" t="s">
        <v>89</v>
      </c>
      <c r="B60" s="7"/>
      <c r="C60" s="7"/>
      <c r="D60" s="7"/>
      <c r="E60" s="7"/>
      <c r="F60" s="90"/>
      <c r="J60" s="7"/>
      <c r="K60" s="7"/>
    </row>
    <row r="61" spans="1:11" x14ac:dyDescent="0.25">
      <c r="A61" s="7"/>
      <c r="B61" s="7"/>
      <c r="C61" s="7"/>
      <c r="D61" s="7"/>
      <c r="E61" s="7"/>
      <c r="F61" s="90"/>
      <c r="G61" s="7"/>
      <c r="H61" s="7"/>
      <c r="I61" s="7"/>
      <c r="J61" s="7"/>
      <c r="K61" s="7"/>
    </row>
    <row r="62" spans="1:11" ht="15.75" x14ac:dyDescent="0.25">
      <c r="A62" s="10" t="s">
        <v>90</v>
      </c>
      <c r="B62" s="19"/>
      <c r="C62" s="19"/>
      <c r="D62" s="19"/>
      <c r="E62" s="34"/>
      <c r="F62" s="83"/>
      <c r="G62" s="7"/>
      <c r="H62" s="7"/>
      <c r="I62" s="7"/>
      <c r="J62" s="7"/>
      <c r="K62" s="7"/>
    </row>
    <row r="63" spans="1:11" x14ac:dyDescent="0.25">
      <c r="A63" s="7" t="s">
        <v>79</v>
      </c>
      <c r="B63" s="7"/>
      <c r="C63" s="7"/>
      <c r="D63" s="7"/>
      <c r="E63" s="7"/>
      <c r="F63" s="83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3851C-36BA-401C-8FC0-EE25EAF2CFE9}">
  <dimension ref="A1:K81"/>
  <sheetViews>
    <sheetView workbookViewId="0"/>
  </sheetViews>
  <sheetFormatPr defaultRowHeight="15" x14ac:dyDescent="0.25"/>
  <cols>
    <col min="1" max="1" width="26" customWidth="1"/>
    <col min="2" max="2" width="10.85546875" customWidth="1"/>
    <col min="5" max="5" width="9.85546875" bestFit="1" customWidth="1"/>
    <col min="6" max="6" width="9.140625" style="87"/>
    <col min="7" max="7" width="10.85546875" customWidth="1"/>
    <col min="8" max="8" width="11" customWidth="1"/>
    <col min="9" max="11" width="10.7109375" customWidth="1"/>
  </cols>
  <sheetData>
    <row r="1" spans="1:11" ht="15.75" x14ac:dyDescent="0.25">
      <c r="A1" s="1" t="s">
        <v>0</v>
      </c>
      <c r="B1" s="11"/>
      <c r="C1" s="20"/>
      <c r="D1" s="11"/>
      <c r="E1" s="7"/>
      <c r="F1" s="83"/>
      <c r="G1" s="7"/>
      <c r="H1" s="7"/>
      <c r="I1" s="7"/>
      <c r="J1" s="7"/>
      <c r="K1" s="7"/>
    </row>
    <row r="2" spans="1:11" ht="15.75" x14ac:dyDescent="0.25">
      <c r="A2" s="2" t="s">
        <v>101</v>
      </c>
      <c r="B2" s="11"/>
      <c r="C2" s="11"/>
      <c r="D2" s="11"/>
      <c r="E2" s="7"/>
      <c r="F2" s="83"/>
      <c r="G2" s="7"/>
      <c r="H2" s="7"/>
      <c r="I2" s="7"/>
      <c r="J2" s="7"/>
      <c r="K2" s="7"/>
    </row>
    <row r="3" spans="1:11" ht="15.75" x14ac:dyDescent="0.25">
      <c r="A3" s="1" t="s">
        <v>1</v>
      </c>
      <c r="B3" s="12"/>
      <c r="C3" s="7"/>
      <c r="D3" s="11"/>
      <c r="E3" s="7"/>
      <c r="F3" s="83"/>
      <c r="G3" s="7"/>
      <c r="H3" s="7"/>
      <c r="I3" s="7"/>
      <c r="J3" s="7"/>
      <c r="K3" s="7"/>
    </row>
    <row r="4" spans="1:11" ht="15.75" x14ac:dyDescent="0.25">
      <c r="A4" s="3" t="s">
        <v>2</v>
      </c>
      <c r="B4" s="13"/>
      <c r="C4" s="13"/>
      <c r="D4" s="13"/>
      <c r="E4" s="27"/>
      <c r="F4" s="83"/>
      <c r="G4" s="7"/>
      <c r="H4" s="7"/>
      <c r="I4" s="81" t="s">
        <v>3</v>
      </c>
      <c r="J4" s="81"/>
      <c r="K4" s="81"/>
    </row>
    <row r="5" spans="1:11" x14ac:dyDescent="0.25">
      <c r="A5" s="4" t="s">
        <v>4</v>
      </c>
      <c r="B5" s="4" t="s">
        <v>5</v>
      </c>
      <c r="C5" s="4" t="s">
        <v>6</v>
      </c>
      <c r="D5" s="4" t="s">
        <v>7</v>
      </c>
      <c r="E5" s="28" t="s">
        <v>8</v>
      </c>
      <c r="F5" s="84"/>
      <c r="G5" s="7"/>
      <c r="H5" s="7"/>
      <c r="I5" s="16"/>
      <c r="J5" s="56" t="s">
        <v>99</v>
      </c>
      <c r="K5" s="59"/>
    </row>
    <row r="6" spans="1:11" x14ac:dyDescent="0.25">
      <c r="A6" s="5" t="s">
        <v>9</v>
      </c>
      <c r="B6" s="5" t="s">
        <v>10</v>
      </c>
      <c r="C6" s="77">
        <v>0.6</v>
      </c>
      <c r="D6" s="78">
        <v>150</v>
      </c>
      <c r="E6" s="29">
        <f t="shared" ref="E6:E13" si="0">(C6*D6)</f>
        <v>90</v>
      </c>
      <c r="F6" s="85"/>
      <c r="G6" s="20"/>
      <c r="H6" s="20"/>
      <c r="I6" s="51" t="s">
        <v>11</v>
      </c>
      <c r="J6" s="57" t="s">
        <v>12</v>
      </c>
      <c r="K6" s="51" t="s">
        <v>13</v>
      </c>
    </row>
    <row r="7" spans="1:11" x14ac:dyDescent="0.25">
      <c r="A7" s="5" t="s">
        <v>14</v>
      </c>
      <c r="B7" s="5" t="s">
        <v>10</v>
      </c>
      <c r="C7" s="77">
        <v>0.73</v>
      </c>
      <c r="D7" s="78">
        <v>50</v>
      </c>
      <c r="E7" s="29">
        <f t="shared" si="0"/>
        <v>36.5</v>
      </c>
      <c r="F7" s="85"/>
      <c r="G7" s="36" t="s">
        <v>15</v>
      </c>
      <c r="H7" s="3"/>
      <c r="I7" s="93">
        <v>0.1575</v>
      </c>
      <c r="J7" s="94">
        <v>0.1275</v>
      </c>
      <c r="K7" s="93">
        <v>6.7500000000000004E-2</v>
      </c>
    </row>
    <row r="8" spans="1:11" x14ac:dyDescent="0.25">
      <c r="A8" s="5" t="s">
        <v>16</v>
      </c>
      <c r="B8" s="5" t="s">
        <v>10</v>
      </c>
      <c r="C8" s="77">
        <v>0.34</v>
      </c>
      <c r="D8" s="78">
        <v>150</v>
      </c>
      <c r="E8" s="29">
        <f t="shared" si="0"/>
        <v>51.000000000000007</v>
      </c>
      <c r="F8" s="85"/>
      <c r="G8" s="37" t="s">
        <v>17</v>
      </c>
      <c r="H8" s="92">
        <v>100000</v>
      </c>
      <c r="I8" s="29">
        <f>(I7*H8)-$E$39-$E$62-$E66-($I$26*(I7*H8))</f>
        <v>7618.4309499999981</v>
      </c>
      <c r="J8" s="29">
        <f>(J7*H8)-$E$39-$E$62-$E66-($I$26*(J7*H8))</f>
        <v>4678.4309499999981</v>
      </c>
      <c r="K8" s="29">
        <f>(K7*H8)-$E$39-$E$62-$E66-($I$26*(K7*H8))</f>
        <v>-1201.569050000001</v>
      </c>
    </row>
    <row r="9" spans="1:11" x14ac:dyDescent="0.25">
      <c r="A9" s="5" t="s">
        <v>18</v>
      </c>
      <c r="B9" s="5" t="s">
        <v>19</v>
      </c>
      <c r="C9" s="77">
        <v>50</v>
      </c>
      <c r="D9" s="78">
        <v>1</v>
      </c>
      <c r="E9" s="29">
        <f t="shared" si="0"/>
        <v>50</v>
      </c>
      <c r="F9" s="85"/>
      <c r="G9" s="37" t="s">
        <v>20</v>
      </c>
      <c r="H9" s="92">
        <v>80000</v>
      </c>
      <c r="I9" s="29">
        <f>(I7*H9)-$E$39-$E$62-$E67-($I$26*(I7*H9))</f>
        <v>5231.4309499999981</v>
      </c>
      <c r="J9" s="29">
        <f>(J7*H9)-$E$39-$E$62-$E67-($I$26*(J7*H9))</f>
        <v>2879.4309499999986</v>
      </c>
      <c r="K9" s="29">
        <f>(K7*H9)-$E$39-$E$62-$E67-($I$26*(K7*H9))</f>
        <v>-1824.569050000001</v>
      </c>
    </row>
    <row r="10" spans="1:11" x14ac:dyDescent="0.25">
      <c r="A10" s="5" t="s">
        <v>21</v>
      </c>
      <c r="B10" s="5" t="s">
        <v>10</v>
      </c>
      <c r="C10" s="77">
        <v>0.65</v>
      </c>
      <c r="D10" s="79">
        <v>20</v>
      </c>
      <c r="E10" s="29">
        <f t="shared" si="0"/>
        <v>13</v>
      </c>
      <c r="F10" s="85"/>
      <c r="G10" s="37" t="s">
        <v>22</v>
      </c>
      <c r="H10" s="92">
        <v>60000</v>
      </c>
      <c r="I10" s="29">
        <f>(I7*H10)-$E$39-$E$62-$E68-($I$26*(I7*H10))</f>
        <v>2844.430949999999</v>
      </c>
      <c r="J10" s="29">
        <f>(J7*H10)-$E$39-$E$62-$E68-($I$26*(J7*H10))</f>
        <v>1080.430949999999</v>
      </c>
      <c r="K10" s="29">
        <f>(K7*H10)-$E$39-$E$62-$E68-($I$26*(K7*H10))</f>
        <v>-2447.5690500000001</v>
      </c>
    </row>
    <row r="11" spans="1:11" x14ac:dyDescent="0.25">
      <c r="A11" s="5" t="s">
        <v>23</v>
      </c>
      <c r="B11" s="5" t="s">
        <v>24</v>
      </c>
      <c r="C11" s="77">
        <v>350</v>
      </c>
      <c r="D11" s="78">
        <v>1.9</v>
      </c>
      <c r="E11" s="29">
        <f t="shared" si="0"/>
        <v>665</v>
      </c>
      <c r="F11" s="85"/>
      <c r="G11" s="7"/>
      <c r="H11" s="76"/>
      <c r="I11" s="35"/>
      <c r="J11" s="35"/>
      <c r="K11" s="35"/>
    </row>
    <row r="12" spans="1:11" ht="15.75" x14ac:dyDescent="0.25">
      <c r="A12" s="5" t="s">
        <v>25</v>
      </c>
      <c r="B12" s="5" t="s">
        <v>24</v>
      </c>
      <c r="C12" s="77">
        <v>184.08</v>
      </c>
      <c r="D12" s="78">
        <v>0.5</v>
      </c>
      <c r="E12" s="29">
        <f t="shared" si="0"/>
        <v>92.04</v>
      </c>
      <c r="F12" s="85"/>
      <c r="H12" s="66" t="s">
        <v>97</v>
      </c>
    </row>
    <row r="13" spans="1:11" x14ac:dyDescent="0.25">
      <c r="A13" s="5" t="s">
        <v>26</v>
      </c>
      <c r="B13" s="5" t="s">
        <v>27</v>
      </c>
      <c r="C13" s="77">
        <v>0.08</v>
      </c>
      <c r="D13" s="78">
        <v>7260</v>
      </c>
      <c r="E13" s="29">
        <f t="shared" si="0"/>
        <v>580.80000000000007</v>
      </c>
      <c r="F13" s="85"/>
      <c r="G13" s="7"/>
      <c r="H13" s="7"/>
      <c r="I13" s="16"/>
      <c r="J13" s="56" t="s">
        <v>99</v>
      </c>
      <c r="K13" s="59"/>
    </row>
    <row r="14" spans="1:11" x14ac:dyDescent="0.25">
      <c r="A14" s="5" t="s">
        <v>28</v>
      </c>
      <c r="B14" s="5" t="s">
        <v>29</v>
      </c>
      <c r="C14" s="77">
        <v>168.28</v>
      </c>
      <c r="D14" s="78">
        <v>1</v>
      </c>
      <c r="E14" s="29">
        <f t="shared" ref="E14:E15" si="1">C14*D14</f>
        <v>168.28</v>
      </c>
      <c r="F14" s="85"/>
      <c r="I14" s="67" t="s">
        <v>11</v>
      </c>
      <c r="J14" s="68" t="s">
        <v>12</v>
      </c>
      <c r="K14" s="67" t="s">
        <v>13</v>
      </c>
    </row>
    <row r="15" spans="1:11" x14ac:dyDescent="0.25">
      <c r="A15" s="5" t="s">
        <v>30</v>
      </c>
      <c r="B15" s="5" t="s">
        <v>31</v>
      </c>
      <c r="C15" s="77">
        <v>17.96</v>
      </c>
      <c r="D15" s="78">
        <v>6</v>
      </c>
      <c r="E15" s="29">
        <f t="shared" si="1"/>
        <v>107.76</v>
      </c>
      <c r="F15" s="85"/>
      <c r="G15" s="69" t="s">
        <v>15</v>
      </c>
      <c r="H15" s="70"/>
      <c r="I15" s="93">
        <v>0.16</v>
      </c>
      <c r="J15" s="94">
        <v>0.13</v>
      </c>
      <c r="K15" s="93">
        <v>7.0000000000000007E-2</v>
      </c>
    </row>
    <row r="16" spans="1:11" x14ac:dyDescent="0.25">
      <c r="A16" s="5" t="s">
        <v>32</v>
      </c>
      <c r="B16" s="5" t="s">
        <v>33</v>
      </c>
      <c r="C16" s="77">
        <v>14.5</v>
      </c>
      <c r="D16" s="78">
        <v>35</v>
      </c>
      <c r="E16" s="29">
        <f>(C16*D16)</f>
        <v>507.5</v>
      </c>
      <c r="F16" s="85"/>
      <c r="G16" s="71" t="s">
        <v>17</v>
      </c>
      <c r="H16" s="95">
        <v>100000</v>
      </c>
      <c r="I16" s="14">
        <f>I8/$H$8</f>
        <v>7.6184309499999978E-2</v>
      </c>
      <c r="J16" s="14">
        <f>J8/$H$8</f>
        <v>4.6784309499999982E-2</v>
      </c>
      <c r="K16" s="14">
        <f>K8/$H$8</f>
        <v>-1.2015690500000009E-2</v>
      </c>
    </row>
    <row r="17" spans="1:11" x14ac:dyDescent="0.25">
      <c r="A17" s="5" t="s">
        <v>34</v>
      </c>
      <c r="B17" s="5" t="s">
        <v>29</v>
      </c>
      <c r="C17" s="77">
        <v>17.96</v>
      </c>
      <c r="D17" s="78">
        <v>9</v>
      </c>
      <c r="E17" s="29">
        <f>(C17*D17)</f>
        <v>161.64000000000001</v>
      </c>
      <c r="F17" s="85"/>
      <c r="G17" s="71" t="s">
        <v>20</v>
      </c>
      <c r="H17" s="95">
        <v>80000</v>
      </c>
      <c r="I17" s="14">
        <f>I9/$H$9</f>
        <v>6.5392886874999973E-2</v>
      </c>
      <c r="J17" s="14">
        <f>J9/$H$9</f>
        <v>3.5992886874999984E-2</v>
      </c>
      <c r="K17" s="14">
        <f>K9/$H$9</f>
        <v>-2.2807113125000011E-2</v>
      </c>
    </row>
    <row r="18" spans="1:11" x14ac:dyDescent="0.25">
      <c r="A18" s="5" t="s">
        <v>35</v>
      </c>
      <c r="B18" s="5" t="s">
        <v>29</v>
      </c>
      <c r="C18" s="77">
        <v>124.65</v>
      </c>
      <c r="D18" s="78">
        <v>1</v>
      </c>
      <c r="E18" s="29">
        <f>C18*D18</f>
        <v>124.65</v>
      </c>
      <c r="F18" s="85"/>
      <c r="G18" s="71" t="s">
        <v>22</v>
      </c>
      <c r="H18" s="95">
        <v>60000</v>
      </c>
      <c r="I18" s="14">
        <f>I10/$H$10</f>
        <v>4.7407182499999985E-2</v>
      </c>
      <c r="J18" s="14">
        <f>J10/$H$10</f>
        <v>1.8007182499999982E-2</v>
      </c>
      <c r="K18" s="14">
        <f>K10/$H$10</f>
        <v>-4.0792817500000002E-2</v>
      </c>
    </row>
    <row r="19" spans="1:11" x14ac:dyDescent="0.25">
      <c r="A19" s="5" t="s">
        <v>37</v>
      </c>
      <c r="B19" s="5" t="s">
        <v>29</v>
      </c>
      <c r="C19" s="77">
        <v>25</v>
      </c>
      <c r="D19" s="78">
        <v>1</v>
      </c>
      <c r="E19" s="29">
        <f t="shared" ref="E19:E37" si="2">C19*D19</f>
        <v>25</v>
      </c>
      <c r="F19" s="85"/>
    </row>
    <row r="20" spans="1:11" ht="15.75" x14ac:dyDescent="0.25">
      <c r="A20" s="5" t="s">
        <v>80</v>
      </c>
      <c r="B20" s="5" t="s">
        <v>42</v>
      </c>
      <c r="C20" s="77">
        <v>38.6</v>
      </c>
      <c r="D20" s="78">
        <v>0.4</v>
      </c>
      <c r="E20" s="29">
        <f t="shared" si="2"/>
        <v>15.440000000000001</v>
      </c>
      <c r="F20" s="85"/>
      <c r="G20" s="72" t="s">
        <v>98</v>
      </c>
      <c r="H20" s="70"/>
      <c r="I20" s="70"/>
    </row>
    <row r="21" spans="1:11" ht="15.75" x14ac:dyDescent="0.25">
      <c r="A21" s="5" t="s">
        <v>81</v>
      </c>
      <c r="B21" s="5" t="s">
        <v>39</v>
      </c>
      <c r="C21" s="77">
        <v>6.88</v>
      </c>
      <c r="D21" s="78">
        <v>0.5</v>
      </c>
      <c r="E21" s="29">
        <f t="shared" si="2"/>
        <v>3.44</v>
      </c>
      <c r="F21" s="85"/>
      <c r="G21" s="69" t="s">
        <v>15</v>
      </c>
      <c r="H21" s="70"/>
      <c r="I21" s="73"/>
    </row>
    <row r="22" spans="1:11" x14ac:dyDescent="0.25">
      <c r="A22" s="5" t="s">
        <v>45</v>
      </c>
      <c r="B22" s="5" t="s">
        <v>42</v>
      </c>
      <c r="C22" s="77">
        <v>1.21</v>
      </c>
      <c r="D22" s="78">
        <f>1*8</f>
        <v>8</v>
      </c>
      <c r="E22" s="29">
        <f t="shared" si="2"/>
        <v>9.68</v>
      </c>
      <c r="F22" s="85"/>
      <c r="G22" s="71" t="s">
        <v>17</v>
      </c>
      <c r="H22" s="95">
        <v>100000</v>
      </c>
      <c r="I22" s="14">
        <f>$E$70/H22</f>
        <v>7.3205690500000004E-2</v>
      </c>
    </row>
    <row r="23" spans="1:11" x14ac:dyDescent="0.25">
      <c r="A23" s="5" t="s">
        <v>47</v>
      </c>
      <c r="B23" s="5" t="s">
        <v>39</v>
      </c>
      <c r="C23" s="77">
        <v>3.13</v>
      </c>
      <c r="D23" s="78">
        <f>7*3</f>
        <v>21</v>
      </c>
      <c r="E23" s="29">
        <f t="shared" si="2"/>
        <v>65.73</v>
      </c>
      <c r="F23" s="85"/>
      <c r="G23" s="71" t="s">
        <v>20</v>
      </c>
      <c r="H23" s="95">
        <v>80000</v>
      </c>
      <c r="I23" s="14">
        <f>$E$70/H23</f>
        <v>9.1507113124999997E-2</v>
      </c>
    </row>
    <row r="24" spans="1:11" x14ac:dyDescent="0.25">
      <c r="A24" s="5" t="s">
        <v>100</v>
      </c>
      <c r="B24" s="5" t="s">
        <v>42</v>
      </c>
      <c r="C24" s="77">
        <v>2.2799999999999998</v>
      </c>
      <c r="D24" s="78">
        <f>7*3</f>
        <v>21</v>
      </c>
      <c r="E24" s="29">
        <f t="shared" si="2"/>
        <v>47.879999999999995</v>
      </c>
      <c r="F24" s="85"/>
      <c r="G24" s="71" t="s">
        <v>22</v>
      </c>
      <c r="H24" s="95">
        <v>60000</v>
      </c>
      <c r="I24" s="14">
        <f>$E$70/H24</f>
        <v>0.12200948416666667</v>
      </c>
    </row>
    <row r="25" spans="1:11" x14ac:dyDescent="0.25">
      <c r="A25" s="5" t="s">
        <v>54</v>
      </c>
      <c r="B25" s="5" t="s">
        <v>10</v>
      </c>
      <c r="C25" s="77">
        <v>3.05</v>
      </c>
      <c r="D25" s="78">
        <f>3*7</f>
        <v>21</v>
      </c>
      <c r="E25" s="29">
        <f t="shared" si="2"/>
        <v>64.05</v>
      </c>
      <c r="F25" s="85"/>
    </row>
    <row r="26" spans="1:11" x14ac:dyDescent="0.25">
      <c r="A26" s="5" t="s">
        <v>56</v>
      </c>
      <c r="B26" s="5" t="s">
        <v>42</v>
      </c>
      <c r="C26" s="77">
        <v>2.46</v>
      </c>
      <c r="D26" s="78">
        <f>1*14</f>
        <v>14</v>
      </c>
      <c r="E26" s="29">
        <f t="shared" si="2"/>
        <v>34.44</v>
      </c>
      <c r="F26" s="85"/>
      <c r="G26" s="62"/>
      <c r="H26" s="63" t="s">
        <v>96</v>
      </c>
      <c r="I26" s="64">
        <v>0.02</v>
      </c>
      <c r="J26" s="7"/>
      <c r="K26" s="7"/>
    </row>
    <row r="27" spans="1:11" x14ac:dyDescent="0.25">
      <c r="A27" s="5" t="s">
        <v>58</v>
      </c>
      <c r="B27" s="5" t="s">
        <v>39</v>
      </c>
      <c r="C27" s="77">
        <v>14.5</v>
      </c>
      <c r="D27" s="78">
        <v>2</v>
      </c>
      <c r="E27" s="29">
        <f t="shared" si="2"/>
        <v>29</v>
      </c>
      <c r="F27" s="85"/>
      <c r="G27" s="7"/>
      <c r="H27" s="7"/>
      <c r="I27" s="7"/>
      <c r="J27" s="7"/>
      <c r="K27" s="7"/>
    </row>
    <row r="28" spans="1:11" x14ac:dyDescent="0.25">
      <c r="A28" s="5" t="s">
        <v>60</v>
      </c>
      <c r="B28" s="5" t="s">
        <v>61</v>
      </c>
      <c r="C28" s="77">
        <v>80</v>
      </c>
      <c r="D28" s="78">
        <v>1.5</v>
      </c>
      <c r="E28" s="29">
        <f>(C28*D28)</f>
        <v>120</v>
      </c>
      <c r="F28" s="85"/>
      <c r="G28" s="3" t="s">
        <v>36</v>
      </c>
      <c r="H28" s="16"/>
      <c r="I28" s="27"/>
      <c r="J28" s="27"/>
      <c r="K28" s="27"/>
    </row>
    <row r="29" spans="1:11" x14ac:dyDescent="0.25">
      <c r="A29" s="78"/>
      <c r="B29" s="78"/>
      <c r="C29" s="77"/>
      <c r="D29" s="78"/>
      <c r="E29" s="91">
        <f t="shared" si="2"/>
        <v>0</v>
      </c>
      <c r="F29" s="85"/>
      <c r="G29" s="3" t="s">
        <v>38</v>
      </c>
      <c r="H29" s="16"/>
      <c r="I29" s="27"/>
      <c r="J29" s="27"/>
      <c r="K29" s="27"/>
    </row>
    <row r="30" spans="1:11" x14ac:dyDescent="0.25">
      <c r="A30" s="78"/>
      <c r="B30" s="78"/>
      <c r="C30" s="77"/>
      <c r="D30" s="78"/>
      <c r="E30" s="91">
        <f t="shared" si="2"/>
        <v>0</v>
      </c>
      <c r="F30" s="85"/>
      <c r="G30" s="65" t="s">
        <v>40</v>
      </c>
      <c r="H30" s="44">
        <v>6</v>
      </c>
      <c r="I30" s="55" t="s">
        <v>41</v>
      </c>
      <c r="J30" s="55"/>
      <c r="K30" s="60"/>
    </row>
    <row r="31" spans="1:11" x14ac:dyDescent="0.25">
      <c r="A31" s="78"/>
      <c r="B31" s="78"/>
      <c r="C31" s="77"/>
      <c r="D31" s="78"/>
      <c r="E31" s="91">
        <f t="shared" si="2"/>
        <v>0</v>
      </c>
      <c r="F31" s="85"/>
      <c r="G31" s="39" t="s">
        <v>43</v>
      </c>
      <c r="H31" s="45">
        <v>4</v>
      </c>
      <c r="I31" s="48" t="s">
        <v>44</v>
      </c>
      <c r="J31" s="48"/>
      <c r="K31" s="61"/>
    </row>
    <row r="32" spans="1:11" ht="15.75" x14ac:dyDescent="0.25">
      <c r="A32" s="78"/>
      <c r="B32" s="78"/>
      <c r="C32" s="77"/>
      <c r="D32" s="78"/>
      <c r="E32" s="91">
        <f t="shared" ref="E32" si="3">(C32*D32)</f>
        <v>0</v>
      </c>
      <c r="F32" s="85"/>
      <c r="G32" s="39" t="s">
        <v>43</v>
      </c>
      <c r="H32" s="46">
        <f>1-(((43560/H30)*3)/43560)</f>
        <v>0.5</v>
      </c>
      <c r="I32" s="48" t="s">
        <v>91</v>
      </c>
      <c r="J32" s="48"/>
      <c r="K32" s="61"/>
    </row>
    <row r="33" spans="1:11" x14ac:dyDescent="0.25">
      <c r="A33" s="78"/>
      <c r="B33" s="78"/>
      <c r="C33" s="77"/>
      <c r="D33" s="78"/>
      <c r="E33" s="91">
        <f t="shared" si="2"/>
        <v>0</v>
      </c>
      <c r="F33" s="85"/>
      <c r="G33" s="39" t="s">
        <v>43</v>
      </c>
      <c r="H33" s="47">
        <v>7260</v>
      </c>
      <c r="I33" s="48" t="s">
        <v>46</v>
      </c>
      <c r="J33" s="48"/>
      <c r="K33" s="61"/>
    </row>
    <row r="34" spans="1:11" x14ac:dyDescent="0.25">
      <c r="A34" s="78"/>
      <c r="B34" s="78"/>
      <c r="C34" s="77"/>
      <c r="D34" s="78"/>
      <c r="E34" s="91">
        <f t="shared" si="2"/>
        <v>0</v>
      </c>
      <c r="F34" s="85"/>
      <c r="G34" s="39" t="s">
        <v>48</v>
      </c>
      <c r="H34" s="48"/>
      <c r="I34" s="75" t="s">
        <v>49</v>
      </c>
      <c r="J34" s="48" t="s">
        <v>50</v>
      </c>
      <c r="K34" s="61"/>
    </row>
    <row r="35" spans="1:11" x14ac:dyDescent="0.25">
      <c r="A35" s="78"/>
      <c r="B35" s="78"/>
      <c r="C35" s="77"/>
      <c r="D35" s="78"/>
      <c r="E35" s="91">
        <f t="shared" si="2"/>
        <v>0</v>
      </c>
      <c r="F35" s="85"/>
      <c r="G35" s="39" t="s">
        <v>51</v>
      </c>
      <c r="H35" s="45">
        <v>1</v>
      </c>
      <c r="I35" s="48" t="s">
        <v>52</v>
      </c>
      <c r="J35" s="45">
        <v>3</v>
      </c>
      <c r="K35" s="61" t="s">
        <v>53</v>
      </c>
    </row>
    <row r="36" spans="1:11" x14ac:dyDescent="0.25">
      <c r="A36" s="78"/>
      <c r="B36" s="78"/>
      <c r="C36" s="77"/>
      <c r="D36" s="78"/>
      <c r="E36" s="91">
        <f t="shared" ref="E36" si="4">(C36*D36)</f>
        <v>0</v>
      </c>
      <c r="F36" s="85"/>
      <c r="G36" s="39" t="s">
        <v>43</v>
      </c>
      <c r="H36" s="47">
        <f>IF(I34="between",43560/H30/H31,43560/H30/H31*((J35/(H35+J35))))</f>
        <v>1815</v>
      </c>
      <c r="I36" s="48" t="s">
        <v>55</v>
      </c>
      <c r="J36" s="48"/>
      <c r="K36" s="61"/>
    </row>
    <row r="37" spans="1:11" x14ac:dyDescent="0.25">
      <c r="A37" s="78"/>
      <c r="B37" s="78"/>
      <c r="C37" s="77"/>
      <c r="D37" s="78"/>
      <c r="E37" s="91">
        <f t="shared" si="2"/>
        <v>0</v>
      </c>
      <c r="F37" s="85"/>
      <c r="G37" s="38" t="s">
        <v>43</v>
      </c>
      <c r="H37" s="49">
        <f>IF(I34="between",H36*(H35/(H35+J35)),43560/H30/H31*(H35/(H35+J35)))</f>
        <v>453.75</v>
      </c>
      <c r="I37" s="43" t="s">
        <v>57</v>
      </c>
      <c r="J37" s="43"/>
      <c r="K37" s="53"/>
    </row>
    <row r="38" spans="1:11" ht="15.75" x14ac:dyDescent="0.25">
      <c r="A38" s="5" t="s">
        <v>82</v>
      </c>
      <c r="B38" s="14">
        <f>SUM(E6:E37)</f>
        <v>3062.8300000000004</v>
      </c>
      <c r="C38" s="79">
        <v>6</v>
      </c>
      <c r="D38" s="80">
        <v>7.0000000000000007E-2</v>
      </c>
      <c r="E38" s="29">
        <f>B38*(C38/12)*D38</f>
        <v>107.19905000000003</v>
      </c>
      <c r="F38" s="86"/>
      <c r="G38" s="7" t="s">
        <v>59</v>
      </c>
      <c r="H38" s="50"/>
      <c r="I38" s="7"/>
      <c r="J38" s="7"/>
      <c r="K38" s="7"/>
    </row>
    <row r="39" spans="1:11" x14ac:dyDescent="0.25">
      <c r="A39" s="6" t="s">
        <v>62</v>
      </c>
      <c r="B39" s="15"/>
      <c r="C39" s="15"/>
      <c r="D39" s="15"/>
      <c r="E39" s="30">
        <f>SUM(E6:E38)</f>
        <v>3170.0290500000006</v>
      </c>
      <c r="F39" s="85"/>
    </row>
    <row r="41" spans="1:11" x14ac:dyDescent="0.25">
      <c r="A41" s="3" t="s">
        <v>63</v>
      </c>
      <c r="B41" s="16"/>
      <c r="C41" s="16"/>
      <c r="D41" s="16"/>
      <c r="E41" s="16"/>
      <c r="F41" s="85"/>
    </row>
    <row r="42" spans="1:11" x14ac:dyDescent="0.25">
      <c r="A42" s="4" t="s">
        <v>4</v>
      </c>
      <c r="B42" s="4" t="s">
        <v>5</v>
      </c>
      <c r="C42" s="4" t="s">
        <v>6</v>
      </c>
      <c r="D42" s="4" t="s">
        <v>7</v>
      </c>
      <c r="E42" s="28" t="s">
        <v>8</v>
      </c>
      <c r="F42" s="88"/>
    </row>
    <row r="43" spans="1:11" x14ac:dyDescent="0.25">
      <c r="A43" s="5" t="s">
        <v>83</v>
      </c>
      <c r="B43" s="5" t="s">
        <v>64</v>
      </c>
      <c r="C43" s="77">
        <v>9.93</v>
      </c>
      <c r="D43" s="78">
        <v>1</v>
      </c>
      <c r="E43" s="29">
        <f>C43*D43</f>
        <v>9.93</v>
      </c>
      <c r="F43" s="88"/>
    </row>
    <row r="44" spans="1:11" x14ac:dyDescent="0.25">
      <c r="A44" s="5" t="s">
        <v>84</v>
      </c>
      <c r="B44" s="5" t="s">
        <v>64</v>
      </c>
      <c r="C44" s="77">
        <v>10.98</v>
      </c>
      <c r="D44" s="78">
        <v>8</v>
      </c>
      <c r="E44" s="29">
        <f t="shared" ref="E44:E60" si="5">C44*D44</f>
        <v>87.84</v>
      </c>
      <c r="F44" s="83"/>
    </row>
    <row r="45" spans="1:11" x14ac:dyDescent="0.25">
      <c r="A45" s="5" t="s">
        <v>85</v>
      </c>
      <c r="B45" s="5" t="s">
        <v>64</v>
      </c>
      <c r="C45" s="77">
        <v>16.309999999999999</v>
      </c>
      <c r="D45" s="78">
        <v>0</v>
      </c>
      <c r="E45" s="29">
        <f>C45*D45</f>
        <v>0</v>
      </c>
      <c r="F45" s="84"/>
    </row>
    <row r="46" spans="1:11" x14ac:dyDescent="0.25">
      <c r="A46" s="5" t="s">
        <v>65</v>
      </c>
      <c r="B46" s="5" t="s">
        <v>29</v>
      </c>
      <c r="C46" s="77">
        <v>18.850000000000001</v>
      </c>
      <c r="D46" s="78">
        <v>1</v>
      </c>
      <c r="E46" s="29">
        <f>C46*D46</f>
        <v>18.850000000000001</v>
      </c>
      <c r="F46" s="85"/>
    </row>
    <row r="47" spans="1:11" x14ac:dyDescent="0.25">
      <c r="A47" s="5" t="s">
        <v>66</v>
      </c>
      <c r="B47" s="5" t="s">
        <v>64</v>
      </c>
      <c r="C47" s="77">
        <v>33.479999999999997</v>
      </c>
      <c r="D47" s="78">
        <v>1</v>
      </c>
      <c r="E47" s="29">
        <f t="shared" si="5"/>
        <v>33.479999999999997</v>
      </c>
      <c r="F47" s="85"/>
    </row>
    <row r="48" spans="1:11" x14ac:dyDescent="0.25">
      <c r="A48" s="5" t="s">
        <v>67</v>
      </c>
      <c r="B48" s="5" t="s">
        <v>29</v>
      </c>
      <c r="C48" s="77">
        <v>25.65</v>
      </c>
      <c r="D48" s="78">
        <v>1</v>
      </c>
      <c r="E48" s="29">
        <f t="shared" si="5"/>
        <v>25.65</v>
      </c>
      <c r="F48" s="85"/>
    </row>
    <row r="49" spans="1:11" x14ac:dyDescent="0.25">
      <c r="A49" s="5" t="s">
        <v>68</v>
      </c>
      <c r="B49" s="5" t="s">
        <v>29</v>
      </c>
      <c r="C49" s="77">
        <v>21.39</v>
      </c>
      <c r="D49" s="78">
        <v>1</v>
      </c>
      <c r="E49" s="29">
        <f t="shared" si="5"/>
        <v>21.39</v>
      </c>
      <c r="F49" s="85"/>
    </row>
    <row r="50" spans="1:11" x14ac:dyDescent="0.25">
      <c r="A50" s="5" t="s">
        <v>69</v>
      </c>
      <c r="B50" s="5" t="s">
        <v>29</v>
      </c>
      <c r="C50" s="77">
        <v>13.4</v>
      </c>
      <c r="D50" s="78">
        <v>1</v>
      </c>
      <c r="E50" s="29">
        <f>C50*D50</f>
        <v>13.4</v>
      </c>
      <c r="F50" s="85"/>
      <c r="G50" s="7"/>
      <c r="H50" s="7"/>
      <c r="I50" s="7"/>
      <c r="J50" s="7"/>
      <c r="K50" s="7"/>
    </row>
    <row r="51" spans="1:11" x14ac:dyDescent="0.25">
      <c r="A51" s="5" t="s">
        <v>70</v>
      </c>
      <c r="B51" s="5" t="s">
        <v>29</v>
      </c>
      <c r="C51" s="77">
        <v>20</v>
      </c>
      <c r="D51" s="78">
        <v>1</v>
      </c>
      <c r="E51" s="29">
        <f>C51*D51</f>
        <v>20</v>
      </c>
      <c r="F51" s="85"/>
      <c r="G51" s="7"/>
      <c r="H51" s="7"/>
      <c r="I51" s="7"/>
      <c r="J51" s="7"/>
      <c r="K51" s="7"/>
    </row>
    <row r="52" spans="1:11" x14ac:dyDescent="0.25">
      <c r="A52" s="78"/>
      <c r="B52" s="78"/>
      <c r="C52" s="77"/>
      <c r="D52" s="78"/>
      <c r="E52" s="91">
        <f t="shared" ref="E52:E58" si="6">C52*D52</f>
        <v>0</v>
      </c>
      <c r="F52" s="85"/>
      <c r="G52" s="7"/>
      <c r="H52" s="7"/>
      <c r="I52" s="7"/>
      <c r="J52" s="7"/>
      <c r="K52" s="7"/>
    </row>
    <row r="53" spans="1:11" x14ac:dyDescent="0.25">
      <c r="A53" s="78"/>
      <c r="B53" s="78"/>
      <c r="C53" s="77"/>
      <c r="D53" s="78"/>
      <c r="E53" s="91">
        <f t="shared" si="6"/>
        <v>0</v>
      </c>
      <c r="F53" s="85"/>
      <c r="G53" s="7"/>
      <c r="H53" s="7"/>
      <c r="I53" s="7"/>
      <c r="J53" s="7"/>
      <c r="K53" s="7"/>
    </row>
    <row r="54" spans="1:11" x14ac:dyDescent="0.25">
      <c r="A54" s="78"/>
      <c r="B54" s="78"/>
      <c r="C54" s="77"/>
      <c r="D54" s="78"/>
      <c r="E54" s="91">
        <f t="shared" si="6"/>
        <v>0</v>
      </c>
      <c r="F54" s="85"/>
      <c r="G54" s="7"/>
      <c r="H54" s="7"/>
      <c r="I54" s="7"/>
      <c r="J54" s="7"/>
      <c r="K54" s="7"/>
    </row>
    <row r="55" spans="1:11" x14ac:dyDescent="0.25">
      <c r="A55" s="78"/>
      <c r="B55" s="78"/>
      <c r="C55" s="77"/>
      <c r="D55" s="78"/>
      <c r="E55" s="91">
        <f t="shared" si="6"/>
        <v>0</v>
      </c>
      <c r="F55" s="85"/>
      <c r="G55" s="7"/>
      <c r="H55" s="7"/>
      <c r="I55" s="7"/>
      <c r="J55" s="7"/>
      <c r="K55" s="7"/>
    </row>
    <row r="56" spans="1:11" x14ac:dyDescent="0.25">
      <c r="A56" s="78"/>
      <c r="B56" s="78"/>
      <c r="C56" s="77"/>
      <c r="D56" s="78"/>
      <c r="E56" s="91">
        <f t="shared" si="6"/>
        <v>0</v>
      </c>
      <c r="F56" s="85"/>
      <c r="G56" s="7"/>
      <c r="H56" s="7"/>
      <c r="I56" s="7"/>
      <c r="J56" s="7"/>
      <c r="K56" s="7"/>
    </row>
    <row r="57" spans="1:11" x14ac:dyDescent="0.25">
      <c r="A57" s="78"/>
      <c r="B57" s="78"/>
      <c r="C57" s="77"/>
      <c r="D57" s="78"/>
      <c r="E57" s="91">
        <f t="shared" si="6"/>
        <v>0</v>
      </c>
      <c r="F57" s="85"/>
      <c r="G57" s="7"/>
      <c r="H57" s="7"/>
      <c r="I57" s="7"/>
      <c r="J57" s="7"/>
      <c r="K57" s="7"/>
    </row>
    <row r="58" spans="1:11" x14ac:dyDescent="0.25">
      <c r="A58" s="78"/>
      <c r="B58" s="78"/>
      <c r="C58" s="77"/>
      <c r="D58" s="78"/>
      <c r="E58" s="91">
        <f t="shared" si="6"/>
        <v>0</v>
      </c>
      <c r="F58" s="85"/>
      <c r="G58" s="7"/>
      <c r="H58" s="7"/>
      <c r="I58" s="7"/>
      <c r="J58" s="7"/>
      <c r="K58" s="7"/>
    </row>
    <row r="59" spans="1:11" ht="15.75" x14ac:dyDescent="0.25">
      <c r="A59" s="5" t="s">
        <v>86</v>
      </c>
      <c r="B59" s="5" t="s">
        <v>29</v>
      </c>
      <c r="C59" s="77">
        <v>250</v>
      </c>
      <c r="D59" s="78">
        <v>1</v>
      </c>
      <c r="E59" s="29">
        <f t="shared" si="5"/>
        <v>250</v>
      </c>
      <c r="F59" s="85"/>
      <c r="G59" s="7"/>
      <c r="H59" s="7"/>
      <c r="I59" s="7"/>
      <c r="J59" s="7"/>
      <c r="K59" s="7"/>
    </row>
    <row r="60" spans="1:11" x14ac:dyDescent="0.25">
      <c r="A60" s="5" t="s">
        <v>92</v>
      </c>
      <c r="B60" s="5" t="s">
        <v>29</v>
      </c>
      <c r="C60" s="77">
        <v>600</v>
      </c>
      <c r="D60" s="78">
        <v>1</v>
      </c>
      <c r="E60" s="29">
        <f t="shared" si="5"/>
        <v>600</v>
      </c>
      <c r="F60" s="85"/>
      <c r="G60" s="7"/>
      <c r="H60" s="7"/>
      <c r="I60" s="7"/>
      <c r="J60" s="7"/>
      <c r="K60" s="7"/>
    </row>
    <row r="61" spans="1:11" ht="15.75" x14ac:dyDescent="0.25">
      <c r="A61" s="5" t="s">
        <v>87</v>
      </c>
      <c r="B61" s="5" t="s">
        <v>71</v>
      </c>
      <c r="C61" s="77">
        <v>8.25</v>
      </c>
      <c r="D61" s="78">
        <v>8</v>
      </c>
      <c r="E61" s="29">
        <f>C61*D61</f>
        <v>66</v>
      </c>
      <c r="F61" s="85"/>
      <c r="G61" s="7"/>
      <c r="H61" s="7"/>
      <c r="I61" s="7"/>
      <c r="J61" s="7"/>
      <c r="K61" s="7"/>
    </row>
    <row r="62" spans="1:11" x14ac:dyDescent="0.25">
      <c r="A62" s="6" t="s">
        <v>72</v>
      </c>
      <c r="B62" s="15"/>
      <c r="C62" s="15"/>
      <c r="D62" s="15"/>
      <c r="E62" s="30">
        <f>SUM(E43:E61)</f>
        <v>1146.54</v>
      </c>
      <c r="F62" s="85"/>
      <c r="G62" s="7"/>
      <c r="H62" s="7"/>
      <c r="I62" s="7"/>
      <c r="J62" s="7"/>
      <c r="K62" s="7"/>
    </row>
    <row r="63" spans="1:11" x14ac:dyDescent="0.25">
      <c r="A63" s="8"/>
      <c r="B63" s="7"/>
      <c r="C63" s="7"/>
      <c r="D63" s="7"/>
      <c r="E63" s="31"/>
      <c r="F63" s="85"/>
      <c r="G63" s="7"/>
      <c r="H63" s="7"/>
      <c r="I63" s="7"/>
      <c r="J63" s="7"/>
      <c r="K63" s="7"/>
    </row>
    <row r="64" spans="1:11" x14ac:dyDescent="0.25">
      <c r="A64" s="3" t="s">
        <v>73</v>
      </c>
      <c r="B64" s="16"/>
      <c r="C64" s="16"/>
      <c r="D64" s="16"/>
      <c r="E64" s="16"/>
      <c r="F64" s="85"/>
      <c r="G64" s="7"/>
      <c r="H64" s="7"/>
      <c r="I64" s="7"/>
      <c r="J64" s="7"/>
      <c r="K64" s="7"/>
    </row>
    <row r="65" spans="1:11" x14ac:dyDescent="0.25">
      <c r="A65" s="4" t="s">
        <v>4</v>
      </c>
      <c r="B65" s="4" t="s">
        <v>5</v>
      </c>
      <c r="C65" s="4" t="s">
        <v>6</v>
      </c>
      <c r="D65" s="4" t="s">
        <v>7</v>
      </c>
      <c r="E65" s="28" t="s">
        <v>8</v>
      </c>
      <c r="F65" s="88"/>
      <c r="G65" s="7"/>
      <c r="H65" s="7"/>
      <c r="I65" s="7"/>
      <c r="J65" s="7"/>
      <c r="K65" s="7"/>
    </row>
    <row r="66" spans="1:11" x14ac:dyDescent="0.25">
      <c r="A66" s="5" t="s">
        <v>74</v>
      </c>
      <c r="B66" s="5" t="s">
        <v>75</v>
      </c>
      <c r="C66" s="22">
        <v>3.5000000000000003E-2</v>
      </c>
      <c r="D66" s="26">
        <f>H8</f>
        <v>100000</v>
      </c>
      <c r="E66" s="29">
        <f>C66*D66</f>
        <v>3500.0000000000005</v>
      </c>
      <c r="F66" s="85"/>
      <c r="G66" s="7"/>
      <c r="H66" s="7"/>
      <c r="I66" s="7"/>
      <c r="J66" s="7"/>
      <c r="K66" s="7"/>
    </row>
    <row r="67" spans="1:11" x14ac:dyDescent="0.25">
      <c r="A67" s="5" t="s">
        <v>76</v>
      </c>
      <c r="B67" s="5" t="s">
        <v>75</v>
      </c>
      <c r="C67" s="22">
        <v>3.5000000000000003E-2</v>
      </c>
      <c r="D67" s="26">
        <f>H9</f>
        <v>80000</v>
      </c>
      <c r="E67" s="29">
        <f>C67*D67</f>
        <v>2800.0000000000005</v>
      </c>
      <c r="F67" s="85"/>
      <c r="G67" s="40"/>
      <c r="H67" s="40"/>
      <c r="I67" s="40"/>
      <c r="J67" s="40"/>
      <c r="K67" s="40"/>
    </row>
    <row r="68" spans="1:11" x14ac:dyDescent="0.25">
      <c r="A68" s="5" t="s">
        <v>77</v>
      </c>
      <c r="B68" s="5" t="s">
        <v>75</v>
      </c>
      <c r="C68" s="22">
        <v>3.5000000000000003E-2</v>
      </c>
      <c r="D68" s="26">
        <f>H10</f>
        <v>60000</v>
      </c>
      <c r="E68" s="29">
        <f>C68*D68</f>
        <v>2100</v>
      </c>
      <c r="F68" s="85"/>
      <c r="G68" s="40"/>
      <c r="H68" s="40"/>
      <c r="I68" s="40"/>
      <c r="J68" s="40"/>
      <c r="K68" s="40"/>
    </row>
    <row r="69" spans="1:11" x14ac:dyDescent="0.25">
      <c r="A69" s="8"/>
      <c r="B69" s="7"/>
      <c r="C69" s="7"/>
      <c r="D69" s="7"/>
      <c r="E69" s="31"/>
      <c r="F69" s="85"/>
      <c r="G69" s="40"/>
      <c r="H69" s="40"/>
      <c r="I69" s="40"/>
      <c r="J69" s="40"/>
      <c r="K69" s="40"/>
    </row>
    <row r="70" spans="1:11" x14ac:dyDescent="0.25">
      <c r="A70" s="9" t="s">
        <v>93</v>
      </c>
      <c r="B70" s="17"/>
      <c r="C70" s="23"/>
      <c r="D70" s="23"/>
      <c r="E70" s="32">
        <f>E39+E62+E67+(E71*I26)</f>
        <v>7320.5690500000001</v>
      </c>
      <c r="F70" s="85"/>
      <c r="G70" s="40"/>
      <c r="H70" s="40"/>
      <c r="I70" s="40"/>
      <c r="J70" s="40"/>
      <c r="K70" s="40"/>
    </row>
    <row r="71" spans="1:11" x14ac:dyDescent="0.25">
      <c r="A71" s="9" t="s">
        <v>94</v>
      </c>
      <c r="B71" s="17"/>
      <c r="C71" s="23"/>
      <c r="D71" s="23"/>
      <c r="E71" s="32">
        <f>H9*J7</f>
        <v>10200</v>
      </c>
      <c r="F71" s="85"/>
      <c r="G71" s="40"/>
      <c r="H71" s="40"/>
      <c r="I71" s="40"/>
      <c r="J71" s="40"/>
      <c r="K71" s="40"/>
    </row>
    <row r="72" spans="1:11" x14ac:dyDescent="0.25">
      <c r="A72" s="9" t="s">
        <v>95</v>
      </c>
      <c r="B72" s="18"/>
      <c r="C72" s="24"/>
      <c r="D72" s="24"/>
      <c r="E72" s="33">
        <f>SUM(E71-E70)</f>
        <v>2879.4309499999999</v>
      </c>
      <c r="F72" s="85"/>
      <c r="G72" s="40"/>
      <c r="H72" s="40"/>
      <c r="I72" s="40"/>
      <c r="J72" s="40"/>
      <c r="K72" s="40"/>
    </row>
    <row r="73" spans="1:11" x14ac:dyDescent="0.25">
      <c r="A73" s="7"/>
      <c r="B73" s="7"/>
      <c r="C73" s="7"/>
      <c r="D73" s="7"/>
      <c r="E73" s="7"/>
      <c r="F73" s="85"/>
      <c r="G73" s="41"/>
      <c r="H73" s="40"/>
      <c r="I73" s="40"/>
      <c r="J73" s="40"/>
      <c r="K73" s="40"/>
    </row>
    <row r="74" spans="1:11" ht="15.75" x14ac:dyDescent="0.25">
      <c r="A74" s="10" t="s">
        <v>88</v>
      </c>
      <c r="B74" s="7"/>
      <c r="C74" s="7"/>
      <c r="D74" s="7"/>
      <c r="E74" s="7"/>
      <c r="F74" s="89">
        <f>H32</f>
        <v>0.5</v>
      </c>
      <c r="G74" s="7" t="s">
        <v>78</v>
      </c>
      <c r="H74" s="7"/>
      <c r="J74" s="40"/>
      <c r="K74" s="40"/>
    </row>
    <row r="75" spans="1:11" x14ac:dyDescent="0.25">
      <c r="A75" s="7"/>
      <c r="B75" s="7"/>
      <c r="C75" s="7"/>
      <c r="D75" s="7"/>
      <c r="E75" s="7"/>
      <c r="F75" s="90"/>
      <c r="G75" s="40"/>
      <c r="H75" s="40"/>
      <c r="I75" s="40"/>
      <c r="J75" s="40"/>
      <c r="K75" s="40"/>
    </row>
    <row r="76" spans="1:11" ht="15.75" x14ac:dyDescent="0.25">
      <c r="A76" s="10" t="s">
        <v>89</v>
      </c>
      <c r="B76" s="7"/>
      <c r="C76" s="7"/>
      <c r="D76" s="7"/>
      <c r="E76" s="7"/>
      <c r="F76" s="90"/>
      <c r="J76" s="7"/>
      <c r="K76" s="7"/>
    </row>
    <row r="77" spans="1:11" x14ac:dyDescent="0.25">
      <c r="A77" s="7"/>
      <c r="B77" s="7"/>
      <c r="C77" s="7"/>
      <c r="D77" s="7"/>
      <c r="E77" s="7"/>
      <c r="F77" s="90"/>
      <c r="G77" s="7"/>
      <c r="H77" s="7"/>
      <c r="I77" s="7"/>
      <c r="J77" s="7"/>
      <c r="K77" s="7"/>
    </row>
    <row r="78" spans="1:11" ht="15.75" x14ac:dyDescent="0.25">
      <c r="A78" s="10" t="s">
        <v>90</v>
      </c>
      <c r="B78" s="19"/>
      <c r="C78" s="19"/>
      <c r="D78" s="19"/>
      <c r="E78" s="34"/>
      <c r="F78" s="83"/>
      <c r="G78" s="7"/>
      <c r="H78" s="7"/>
      <c r="I78" s="7"/>
      <c r="J78" s="7"/>
      <c r="K78" s="7"/>
    </row>
    <row r="79" spans="1:11" x14ac:dyDescent="0.25">
      <c r="A79" s="7" t="s">
        <v>79</v>
      </c>
      <c r="B79" s="7"/>
      <c r="C79" s="7"/>
      <c r="D79" s="7"/>
      <c r="E79" s="7"/>
      <c r="F79" s="83"/>
      <c r="G79" s="7"/>
      <c r="H79" s="7"/>
      <c r="I79" s="7"/>
      <c r="J79" s="7"/>
      <c r="K79" s="7"/>
    </row>
    <row r="80" spans="1:11" x14ac:dyDescent="0.25">
      <c r="G80" s="7"/>
      <c r="H80" s="7"/>
      <c r="I80" s="7"/>
      <c r="J80" s="7"/>
      <c r="K80" s="7"/>
    </row>
    <row r="81" spans="7:11" x14ac:dyDescent="0.25">
      <c r="G81" s="7"/>
      <c r="H81" s="7"/>
      <c r="I81" s="7"/>
      <c r="J81" s="7"/>
      <c r="K81" s="7"/>
    </row>
  </sheetData>
  <mergeCells count="1">
    <mergeCell ref="I4:K4"/>
  </mergeCells>
  <pageMargins left="0.7" right="0.7" top="0.75" bottom="0.75" header="0.3" footer="0.3"/>
  <ignoredErrors>
    <ignoredError sqref="E28 E32 E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cp:lastPrinted>2025-02-14T14:42:08Z</cp:lastPrinted>
  <dcterms:created xsi:type="dcterms:W3CDTF">2023-03-08T15:21:28Z</dcterms:created>
  <dcterms:modified xsi:type="dcterms:W3CDTF">2025-02-14T14:42:36Z</dcterms:modified>
</cp:coreProperties>
</file>