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showObjects="placeholders"/>
  <mc:AlternateContent xmlns:mc="http://schemas.openxmlformats.org/markup-compatibility/2006">
    <mc:Choice Requires="x15">
      <x15ac:absPath xmlns:x15ac="http://schemas.microsoft.com/office/spreadsheetml/2010/11/ac" url="C:\Users\nsbruce\OneDrive - University of Delaware - o365\Documents\Budgets\Fresh Vegetables\2023\"/>
    </mc:Choice>
  </mc:AlternateContent>
  <xr:revisionPtr revIDLastSave="0" documentId="13_ncr:1_{03214D10-E5E6-49E1-8651-F3E5BBADD76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stimated" sheetId="1" r:id="rId1"/>
    <sheet name="Actual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" i="6" l="1"/>
  <c r="E28" i="6"/>
  <c r="E29" i="6"/>
  <c r="E30" i="6"/>
  <c r="E31" i="6"/>
  <c r="E32" i="6"/>
  <c r="E33" i="6"/>
  <c r="E34" i="6"/>
  <c r="E35" i="6"/>
  <c r="E52" i="6"/>
  <c r="E53" i="6"/>
  <c r="E54" i="6"/>
  <c r="E55" i="6"/>
  <c r="D22" i="6"/>
  <c r="D22" i="1"/>
  <c r="E60" i="6" l="1"/>
  <c r="E56" i="6"/>
  <c r="E51" i="6"/>
  <c r="E50" i="6"/>
  <c r="E49" i="6"/>
  <c r="E48" i="6"/>
  <c r="E47" i="6"/>
  <c r="E46" i="6"/>
  <c r="E45" i="6"/>
  <c r="E44" i="6"/>
  <c r="E43" i="6"/>
  <c r="E42" i="6"/>
  <c r="E41" i="6"/>
  <c r="E57" i="6" s="1"/>
  <c r="H31" i="6"/>
  <c r="H32" i="6" s="1"/>
  <c r="H30" i="6"/>
  <c r="G63" i="6"/>
  <c r="E26" i="6"/>
  <c r="E25" i="6"/>
  <c r="B36" i="6" s="1"/>
  <c r="E24" i="6"/>
  <c r="E23" i="6"/>
  <c r="E22" i="6"/>
  <c r="D21" i="6"/>
  <c r="E21" i="6" s="1"/>
  <c r="D20" i="6"/>
  <c r="E20" i="6"/>
  <c r="D19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47" i="1"/>
  <c r="E42" i="1"/>
  <c r="E16" i="1"/>
  <c r="E17" i="1"/>
  <c r="E18" i="1"/>
  <c r="D19" i="1"/>
  <c r="E19" i="1" s="1"/>
  <c r="E11" i="1"/>
  <c r="D20" i="1"/>
  <c r="E20" i="1" s="1"/>
  <c r="E22" i="1"/>
  <c r="D21" i="1"/>
  <c r="E21" i="1" s="1"/>
  <c r="H31" i="1"/>
  <c r="H32" i="1" s="1"/>
  <c r="H30" i="1"/>
  <c r="G50" i="1"/>
  <c r="E25" i="1"/>
  <c r="E24" i="1"/>
  <c r="E39" i="1"/>
  <c r="E40" i="1"/>
  <c r="E34" i="1"/>
  <c r="E33" i="1"/>
  <c r="E6" i="1"/>
  <c r="E7" i="1"/>
  <c r="E8" i="1"/>
  <c r="E9" i="1"/>
  <c r="E10" i="1"/>
  <c r="E12" i="1"/>
  <c r="E13" i="1"/>
  <c r="E14" i="1"/>
  <c r="E15" i="1"/>
  <c r="E38" i="1"/>
  <c r="E23" i="1"/>
  <c r="E26" i="1"/>
  <c r="E32" i="1"/>
  <c r="E35" i="1"/>
  <c r="E36" i="1"/>
  <c r="E37" i="1"/>
  <c r="E44" i="1" s="1"/>
  <c r="E41" i="1"/>
  <c r="E43" i="1"/>
  <c r="E36" i="6" l="1"/>
  <c r="E37" i="6" s="1"/>
  <c r="B27" i="1"/>
  <c r="E27" i="1" s="1"/>
  <c r="E28" i="1" s="1"/>
  <c r="K10" i="1" l="1"/>
  <c r="K18" i="1" s="1"/>
  <c r="K9" i="1"/>
  <c r="K17" i="1" s="1"/>
  <c r="J10" i="1"/>
  <c r="J18" i="1" s="1"/>
  <c r="K8" i="1"/>
  <c r="K16" i="1" s="1"/>
  <c r="J9" i="1"/>
  <c r="J17" i="1" s="1"/>
  <c r="J8" i="1"/>
  <c r="J16" i="1" s="1"/>
  <c r="I10" i="1"/>
  <c r="I18" i="1" s="1"/>
  <c r="I8" i="1"/>
  <c r="I16" i="1" s="1"/>
  <c r="I9" i="1"/>
  <c r="I17" i="1" s="1"/>
  <c r="E46" i="1"/>
  <c r="I10" i="6"/>
  <c r="I18" i="6" s="1"/>
  <c r="J9" i="6"/>
  <c r="J17" i="6" s="1"/>
  <c r="K8" i="6"/>
  <c r="K16" i="6" s="1"/>
  <c r="K10" i="6"/>
  <c r="K18" i="6" s="1"/>
  <c r="K9" i="6"/>
  <c r="K17" i="6" s="1"/>
  <c r="I9" i="6"/>
  <c r="I17" i="6" s="1"/>
  <c r="J8" i="6"/>
  <c r="J16" i="6" s="1"/>
  <c r="J10" i="6"/>
  <c r="J18" i="6" s="1"/>
  <c r="I8" i="6"/>
  <c r="I16" i="6" s="1"/>
  <c r="E59" i="6"/>
  <c r="E48" i="1" l="1"/>
  <c r="I23" i="1"/>
  <c r="I24" i="1"/>
  <c r="I22" i="1"/>
  <c r="I24" i="6"/>
  <c r="I22" i="6"/>
  <c r="I23" i="6"/>
  <c r="E61" i="6"/>
</calcChain>
</file>

<file path=xl/sharedStrings.xml><?xml version="1.0" encoding="utf-8"?>
<sst xmlns="http://schemas.openxmlformats.org/spreadsheetml/2006/main" count="258" uniqueCount="92">
  <si>
    <t>Estimated Costs - Do not make changes here.</t>
  </si>
  <si>
    <t>VARIABLE COSTS</t>
  </si>
  <si>
    <t>Input/Item</t>
  </si>
  <si>
    <t>Unit</t>
  </si>
  <si>
    <t>Price/Unit</t>
  </si>
  <si>
    <t>Units/A</t>
  </si>
  <si>
    <t>Cost/Acre</t>
  </si>
  <si>
    <t>Price Assumptions $/melon</t>
  </si>
  <si>
    <t>Nitrogen</t>
  </si>
  <si>
    <t>lbs</t>
  </si>
  <si>
    <t>High</t>
  </si>
  <si>
    <t>Average</t>
  </si>
  <si>
    <t>Low</t>
  </si>
  <si>
    <t>Phosphorous</t>
  </si>
  <si>
    <t>Yield Assumptions melons/A</t>
  </si>
  <si>
    <t>Potassium</t>
  </si>
  <si>
    <t>Excellent</t>
  </si>
  <si>
    <t>Lime (prorated over 3 years)</t>
  </si>
  <si>
    <t>ton</t>
  </si>
  <si>
    <t>Expected</t>
  </si>
  <si>
    <t>Boron</t>
  </si>
  <si>
    <t>Poor</t>
  </si>
  <si>
    <t>Plastic Mulch</t>
  </si>
  <si>
    <t>feet</t>
  </si>
  <si>
    <t xml:space="preserve">Field Description: This information is used to determine the number of  </t>
  </si>
  <si>
    <t>Seed</t>
  </si>
  <si>
    <t>thousand</t>
  </si>
  <si>
    <t>transplants, yards of plastic mulch, and the amount of herbicide applied.</t>
  </si>
  <si>
    <t>Transplant Production</t>
  </si>
  <si>
    <t>72-cell tray</t>
  </si>
  <si>
    <t xml:space="preserve">Rows are on </t>
  </si>
  <si>
    <t>foot centers</t>
  </si>
  <si>
    <t>Planting Labor</t>
  </si>
  <si>
    <t>hour</t>
  </si>
  <si>
    <t>There are</t>
  </si>
  <si>
    <t>feet between plants in the row</t>
  </si>
  <si>
    <t>pint</t>
  </si>
  <si>
    <t>ounce</t>
  </si>
  <si>
    <t>mulched feet/acre</t>
  </si>
  <si>
    <t>plants per acre</t>
  </si>
  <si>
    <t>oz</t>
  </si>
  <si>
    <t>Laying Mulch</t>
  </si>
  <si>
    <t>acre</t>
  </si>
  <si>
    <t>Lifting Mulch</t>
  </si>
  <si>
    <t>Bee Rental</t>
  </si>
  <si>
    <t>colony</t>
  </si>
  <si>
    <t>Mowing Vines</t>
  </si>
  <si>
    <t>Removing Mulch</t>
  </si>
  <si>
    <t>Mulch Disposal</t>
  </si>
  <si>
    <t>Harvest Labor</t>
  </si>
  <si>
    <r>
      <t>Interest on Variable Costs</t>
    </r>
    <r>
      <rPr>
        <vertAlign val="superscript"/>
        <sz val="10"/>
        <rFont val="Calibri"/>
        <family val="2"/>
      </rPr>
      <t>2</t>
    </r>
  </si>
  <si>
    <t>Total Variable Costs</t>
  </si>
  <si>
    <t>FIXED COSTS (custom rates are used as a proxy for field operation costs)</t>
  </si>
  <si>
    <t xml:space="preserve"> </t>
  </si>
  <si>
    <r>
      <t>Applying Fertilizer</t>
    </r>
    <r>
      <rPr>
        <b/>
        <sz val="10"/>
        <rFont val="Calibri"/>
        <family val="2"/>
      </rPr>
      <t xml:space="preserve"> Broadcast</t>
    </r>
  </si>
  <si>
    <t>application</t>
  </si>
  <si>
    <r>
      <t xml:space="preserve">Applying Chemicals </t>
    </r>
    <r>
      <rPr>
        <b/>
        <sz val="10"/>
        <rFont val="Calibri"/>
        <family val="2"/>
      </rPr>
      <t>Ground</t>
    </r>
  </si>
  <si>
    <t>Transplanter Operation</t>
  </si>
  <si>
    <t>Hooded Sprayer</t>
  </si>
  <si>
    <t>Tillage/Chisel</t>
  </si>
  <si>
    <t>Disk &amp; Harrowing</t>
  </si>
  <si>
    <t>acre-inch</t>
  </si>
  <si>
    <t>Total Fixed Costs</t>
  </si>
  <si>
    <t xml:space="preserve">Irrigation Fixed costs include the cost of drip tape, layflat, fittings, pump, manifold, and installation labor.  </t>
  </si>
  <si>
    <t xml:space="preserve">Irrigation Operating Costs include the cost of fuel and operating labor. </t>
  </si>
  <si>
    <r>
      <t>Herbicide - Sandea</t>
    </r>
    <r>
      <rPr>
        <vertAlign val="superscript"/>
        <sz val="10"/>
        <rFont val="Calibri"/>
        <family val="2"/>
      </rPr>
      <t>1</t>
    </r>
  </si>
  <si>
    <r>
      <t>Herbicide - Strategy</t>
    </r>
    <r>
      <rPr>
        <vertAlign val="superscript"/>
        <sz val="10"/>
        <rFont val="Calibri"/>
        <family val="2"/>
      </rPr>
      <t>1</t>
    </r>
  </si>
  <si>
    <t>of the broadcast acre rate.</t>
  </si>
  <si>
    <t>Sulfur</t>
  </si>
  <si>
    <t>Insecticide - Admire</t>
  </si>
  <si>
    <r>
      <t xml:space="preserve">1 </t>
    </r>
    <r>
      <rPr>
        <sz val="10"/>
        <rFont val="Calibri"/>
        <family val="2"/>
      </rPr>
      <t>Herbicides applied with hooded sprayer between plastic beds. Herbicide rate is calculated as</t>
    </r>
  </si>
  <si>
    <r>
      <t>Herbicide - Gramaxone</t>
    </r>
    <r>
      <rPr>
        <vertAlign val="superscript"/>
        <sz val="10"/>
        <rFont val="Calibri"/>
        <family val="2"/>
      </rPr>
      <t>1</t>
    </r>
  </si>
  <si>
    <r>
      <rPr>
        <vertAlign val="superscript"/>
        <sz val="10"/>
        <rFont val="Calibri"/>
        <family val="2"/>
      </rPr>
      <t>2</t>
    </r>
    <r>
      <rPr>
        <sz val="10"/>
        <rFont val="Calibri"/>
        <family val="2"/>
      </rPr>
      <t xml:space="preserve"> Cells , from left to right, correspond to total variable costs, number of months interest is charged, and interest rate.</t>
    </r>
  </si>
  <si>
    <t>Assume cantaloupe weights an average of 6 lbs</t>
  </si>
  <si>
    <r>
      <t>Fixed Irrigation Costs</t>
    </r>
    <r>
      <rPr>
        <vertAlign val="superscript"/>
        <sz val="10"/>
        <rFont val="Calibri"/>
        <family val="2"/>
      </rPr>
      <t>3</t>
    </r>
  </si>
  <si>
    <r>
      <t>Irrigation Operating Costs</t>
    </r>
    <r>
      <rPr>
        <vertAlign val="superscript"/>
        <sz val="10"/>
        <rFont val="Calibri"/>
        <family val="2"/>
      </rPr>
      <t>3</t>
    </r>
  </si>
  <si>
    <r>
      <rPr>
        <vertAlign val="superscript"/>
        <sz val="10"/>
        <rFont val="Calibri"/>
        <family val="2"/>
      </rPr>
      <t>3</t>
    </r>
    <r>
      <rPr>
        <sz val="10"/>
        <rFont val="Calibri"/>
        <family val="2"/>
      </rPr>
      <t xml:space="preserve">  Irrigation costs are highly variable depending on the size of the system and the cost of the system components.</t>
    </r>
  </si>
  <si>
    <t>CANTALOUPE - Fresh Market</t>
  </si>
  <si>
    <t>Fungicide - Bravo</t>
  </si>
  <si>
    <t>Fungicide - Ranman</t>
  </si>
  <si>
    <r>
      <t>acres unmulched/A</t>
    </r>
    <r>
      <rPr>
        <vertAlign val="superscript"/>
        <sz val="10"/>
        <rFont val="Calibri"/>
        <family val="2"/>
      </rPr>
      <t>1</t>
    </r>
  </si>
  <si>
    <t>acre-year</t>
  </si>
  <si>
    <t>University of Delaware Cooperative Extension Vegetable Crop Budget 2023</t>
  </si>
  <si>
    <t>Land Charge</t>
  </si>
  <si>
    <t>Profit or Loss Per Pound On Example Costs</t>
  </si>
  <si>
    <t xml:space="preserve">Breakeven Price at Different </t>
  </si>
  <si>
    <t>Total Costs</t>
  </si>
  <si>
    <t>Expected Gross Revenue at Average Price</t>
  </si>
  <si>
    <t>Net Returns</t>
  </si>
  <si>
    <t>Insecticide - Agri-Mek</t>
  </si>
  <si>
    <t>Yield Assumptions (melons/A)</t>
  </si>
  <si>
    <t>Price Assumptions ($/melon)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</si>
</sst>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164" formatCode="&quot;$&quot;#,##0.00"/>
    <numFmt numFmtId="165" formatCode="0.000"/>
    <numFmt numFmtId="166" formatCode="0.0%"/>
  </numFmts>
  <fonts count="17" x14ac:knownFonts="1">
    <font>
      <sz val="10"/>
      <name val="Arial"/>
    </font>
    <font>
      <sz val="8"/>
      <name val="Arial"/>
      <family val="2"/>
    </font>
    <font>
      <b/>
      <u/>
      <sz val="12"/>
      <name val="Calibri"/>
      <family val="2"/>
    </font>
    <font>
      <sz val="10"/>
      <name val="Calibri"/>
      <family val="2"/>
    </font>
    <font>
      <b/>
      <sz val="10"/>
      <color indexed="57"/>
      <name val="Calibri"/>
      <family val="2"/>
    </font>
    <font>
      <b/>
      <u/>
      <sz val="10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2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vertAlign val="superscript"/>
      <sz val="10"/>
      <name val="Calibri"/>
      <family val="2"/>
    </font>
    <font>
      <sz val="11"/>
      <name val="Calibri"/>
      <family val="2"/>
    </font>
    <font>
      <sz val="10"/>
      <color rgb="FFFFC00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</font>
    <font>
      <sz val="8"/>
      <color indexed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C0C0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3" fillId="0" borderId="0" xfId="0" applyFont="1"/>
    <xf numFmtId="0" fontId="7" fillId="0" borderId="0" xfId="0" applyFont="1"/>
    <xf numFmtId="164" fontId="6" fillId="0" borderId="0" xfId="0" applyNumberFormat="1" applyFont="1" applyAlignment="1">
      <alignment horizontal="center"/>
    </xf>
    <xf numFmtId="0" fontId="8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164" fontId="5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Protection="1">
      <protection locked="0"/>
    </xf>
    <xf numFmtId="164" fontId="3" fillId="0" borderId="0" xfId="0" applyNumberFormat="1" applyFont="1"/>
    <xf numFmtId="0" fontId="6" fillId="0" borderId="0" xfId="0" applyFont="1" applyAlignment="1">
      <alignment horizontal="right"/>
    </xf>
    <xf numFmtId="0" fontId="9" fillId="2" borderId="0" xfId="0" applyFont="1" applyFill="1"/>
    <xf numFmtId="0" fontId="4" fillId="2" borderId="0" xfId="0" applyFont="1" applyFill="1"/>
    <xf numFmtId="0" fontId="3" fillId="2" borderId="0" xfId="0" applyFont="1" applyFill="1"/>
    <xf numFmtId="0" fontId="10" fillId="2" borderId="0" xfId="0" applyFont="1" applyFill="1"/>
    <xf numFmtId="164" fontId="3" fillId="0" borderId="1" xfId="0" applyNumberFormat="1" applyFont="1" applyBorder="1" applyAlignment="1">
      <alignment horizontal="center"/>
    </xf>
    <xf numFmtId="0" fontId="9" fillId="2" borderId="6" xfId="0" applyFont="1" applyFill="1" applyBorder="1"/>
    <xf numFmtId="0" fontId="6" fillId="0" borderId="0" xfId="0" applyFont="1"/>
    <xf numFmtId="0" fontId="6" fillId="3" borderId="4" xfId="0" applyFont="1" applyFill="1" applyBorder="1" applyAlignment="1">
      <alignment horizontal="right"/>
    </xf>
    <xf numFmtId="0" fontId="3" fillId="3" borderId="7" xfId="0" applyFont="1" applyFill="1" applyBorder="1"/>
    <xf numFmtId="164" fontId="3" fillId="3" borderId="8" xfId="0" applyNumberFormat="1" applyFont="1" applyFill="1" applyBorder="1"/>
    <xf numFmtId="0" fontId="6" fillId="3" borderId="1" xfId="0" applyFont="1" applyFill="1" applyBorder="1"/>
    <xf numFmtId="164" fontId="6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164" fontId="3" fillId="0" borderId="1" xfId="0" applyNumberFormat="1" applyFont="1" applyBorder="1"/>
    <xf numFmtId="0" fontId="12" fillId="0" borderId="0" xfId="0" applyFont="1"/>
    <xf numFmtId="0" fontId="3" fillId="0" borderId="1" xfId="0" applyFont="1" applyBorder="1"/>
    <xf numFmtId="166" fontId="6" fillId="0" borderId="0" xfId="0" applyNumberFormat="1" applyFont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3" fillId="3" borderId="10" xfId="0" applyFont="1" applyFill="1" applyBorder="1"/>
    <xf numFmtId="0" fontId="3" fillId="3" borderId="11" xfId="0" applyFont="1" applyFill="1" applyBorder="1"/>
    <xf numFmtId="0" fontId="3" fillId="3" borderId="6" xfId="0" applyFont="1" applyFill="1" applyBorder="1"/>
    <xf numFmtId="0" fontId="3" fillId="3" borderId="5" xfId="0" applyFont="1" applyFill="1" applyBorder="1"/>
    <xf numFmtId="0" fontId="3" fillId="3" borderId="12" xfId="0" applyFont="1" applyFill="1" applyBorder="1"/>
    <xf numFmtId="1" fontId="6" fillId="3" borderId="13" xfId="0" applyNumberFormat="1" applyFont="1" applyFill="1" applyBorder="1" applyAlignment="1">
      <alignment horizontal="center"/>
    </xf>
    <xf numFmtId="0" fontId="3" fillId="3" borderId="13" xfId="0" applyFont="1" applyFill="1" applyBorder="1"/>
    <xf numFmtId="1" fontId="3" fillId="0" borderId="1" xfId="0" applyNumberFormat="1" applyFont="1" applyBorder="1"/>
    <xf numFmtId="0" fontId="10" fillId="4" borderId="5" xfId="0" applyFont="1" applyFill="1" applyBorder="1"/>
    <xf numFmtId="0" fontId="10" fillId="4" borderId="0" xfId="0" applyFont="1" applyFill="1" applyAlignment="1">
      <alignment horizontal="left" indent="1"/>
    </xf>
    <xf numFmtId="165" fontId="6" fillId="0" borderId="0" xfId="0" applyNumberFormat="1" applyFont="1" applyAlignment="1">
      <alignment horizontal="center"/>
    </xf>
    <xf numFmtId="0" fontId="13" fillId="0" borderId="0" xfId="0" applyFont="1"/>
    <xf numFmtId="0" fontId="6" fillId="3" borderId="10" xfId="0" applyFont="1" applyFill="1" applyBorder="1" applyAlignment="1">
      <alignment horizontal="center"/>
    </xf>
    <xf numFmtId="0" fontId="11" fillId="0" borderId="0" xfId="0" applyFont="1"/>
    <xf numFmtId="0" fontId="6" fillId="5" borderId="4" xfId="0" applyFont="1" applyFill="1" applyBorder="1"/>
    <xf numFmtId="3" fontId="6" fillId="5" borderId="8" xfId="0" applyNumberFormat="1" applyFont="1" applyFill="1" applyBorder="1"/>
    <xf numFmtId="0" fontId="6" fillId="5" borderId="2" xfId="0" applyFont="1" applyFill="1" applyBorder="1" applyAlignment="1">
      <alignment horizontal="center"/>
    </xf>
    <xf numFmtId="164" fontId="6" fillId="5" borderId="2" xfId="0" applyNumberFormat="1" applyFont="1" applyFill="1" applyBorder="1" applyAlignment="1">
      <alignment horizontal="center"/>
    </xf>
    <xf numFmtId="8" fontId="6" fillId="5" borderId="3" xfId="0" applyNumberFormat="1" applyFont="1" applyFill="1" applyBorder="1" applyAlignment="1">
      <alignment horizontal="center"/>
    </xf>
    <xf numFmtId="164" fontId="6" fillId="5" borderId="3" xfId="0" applyNumberFormat="1" applyFont="1" applyFill="1" applyBorder="1" applyAlignment="1">
      <alignment horizontal="center"/>
    </xf>
    <xf numFmtId="0" fontId="3" fillId="5" borderId="1" xfId="0" applyFont="1" applyFill="1" applyBorder="1"/>
    <xf numFmtId="164" fontId="3" fillId="5" borderId="1" xfId="0" applyNumberFormat="1" applyFont="1" applyFill="1" applyBorder="1"/>
    <xf numFmtId="164" fontId="3" fillId="5" borderId="1" xfId="0" applyNumberFormat="1" applyFont="1" applyFill="1" applyBorder="1" applyAlignment="1">
      <alignment horizontal="center"/>
    </xf>
    <xf numFmtId="1" fontId="3" fillId="5" borderId="1" xfId="0" applyNumberFormat="1" applyFont="1" applyFill="1" applyBorder="1"/>
    <xf numFmtId="10" fontId="3" fillId="0" borderId="1" xfId="0" applyNumberFormat="1" applyFont="1" applyBorder="1"/>
    <xf numFmtId="0" fontId="6" fillId="3" borderId="0" xfId="0" applyFont="1" applyFill="1" applyAlignment="1">
      <alignment horizontal="center"/>
    </xf>
    <xf numFmtId="0" fontId="3" fillId="3" borderId="0" xfId="0" applyFont="1" applyFill="1"/>
    <xf numFmtId="165" fontId="6" fillId="3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3" fillId="3" borderId="14" xfId="0" applyFont="1" applyFill="1" applyBorder="1"/>
    <xf numFmtId="0" fontId="14" fillId="0" borderId="0" xfId="0" applyFont="1"/>
    <xf numFmtId="0" fontId="9" fillId="2" borderId="0" xfId="0" applyFont="1" applyFill="1" applyAlignment="1">
      <alignment horizontal="center"/>
    </xf>
    <xf numFmtId="0" fontId="10" fillId="2" borderId="5" xfId="0" applyFont="1" applyFill="1" applyBorder="1"/>
    <xf numFmtId="0" fontId="6" fillId="0" borderId="2" xfId="0" applyFont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0" fontId="9" fillId="7" borderId="6" xfId="0" applyFont="1" applyFill="1" applyBorder="1"/>
    <xf numFmtId="0" fontId="9" fillId="7" borderId="0" xfId="0" applyFont="1" applyFill="1"/>
    <xf numFmtId="8" fontId="6" fillId="0" borderId="3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0" fontId="6" fillId="0" borderId="4" xfId="0" applyFont="1" applyBorder="1"/>
    <xf numFmtId="3" fontId="6" fillId="0" borderId="1" xfId="0" applyNumberFormat="1" applyFont="1" applyBorder="1"/>
    <xf numFmtId="0" fontId="15" fillId="7" borderId="0" xfId="0" applyFont="1" applyFill="1"/>
    <xf numFmtId="164" fontId="3" fillId="7" borderId="0" xfId="0" applyNumberFormat="1" applyFont="1" applyFill="1"/>
    <xf numFmtId="0" fontId="10" fillId="2" borderId="4" xfId="0" applyFont="1" applyFill="1" applyBorder="1"/>
    <xf numFmtId="0" fontId="10" fillId="2" borderId="7" xfId="0" applyFont="1" applyFill="1" applyBorder="1"/>
    <xf numFmtId="0" fontId="3" fillId="0" borderId="7" xfId="0" applyFont="1" applyBorder="1"/>
    <xf numFmtId="164" fontId="3" fillId="0" borderId="8" xfId="0" applyNumberFormat="1" applyFont="1" applyBorder="1" applyAlignment="1">
      <alignment horizontal="center"/>
    </xf>
    <xf numFmtId="0" fontId="16" fillId="2" borderId="7" xfId="0" applyFont="1" applyFill="1" applyBorder="1"/>
    <xf numFmtId="0" fontId="7" fillId="0" borderId="7" xfId="0" applyFont="1" applyBorder="1"/>
    <xf numFmtId="164" fontId="6" fillId="8" borderId="8" xfId="0" applyNumberFormat="1" applyFont="1" applyFill="1" applyBorder="1" applyAlignment="1">
      <alignment horizontal="center"/>
    </xf>
    <xf numFmtId="0" fontId="3" fillId="0" borderId="4" xfId="0" applyFont="1" applyBorder="1"/>
    <xf numFmtId="1" fontId="6" fillId="0" borderId="0" xfId="0" applyNumberFormat="1" applyFont="1" applyAlignment="1">
      <alignment horizontal="center"/>
    </xf>
    <xf numFmtId="0" fontId="3" fillId="5" borderId="4" xfId="0" applyFont="1" applyFill="1" applyBorder="1"/>
    <xf numFmtId="164" fontId="3" fillId="5" borderId="8" xfId="0" applyNumberFormat="1" applyFont="1" applyFill="1" applyBorder="1" applyAlignment="1">
      <alignment horizontal="center"/>
    </xf>
    <xf numFmtId="164" fontId="3" fillId="6" borderId="1" xfId="0" applyNumberFormat="1" applyFont="1" applyFill="1" applyBorder="1"/>
    <xf numFmtId="0" fontId="3" fillId="6" borderId="1" xfId="0" applyFont="1" applyFill="1" applyBorder="1"/>
    <xf numFmtId="1" fontId="3" fillId="6" borderId="1" xfId="0" applyNumberFormat="1" applyFont="1" applyFill="1" applyBorder="1"/>
    <xf numFmtId="0" fontId="3" fillId="6" borderId="15" xfId="0" applyFont="1" applyFill="1" applyBorder="1"/>
    <xf numFmtId="10" fontId="3" fillId="6" borderId="1" xfId="0" applyNumberFormat="1" applyFont="1" applyFill="1" applyBorder="1"/>
    <xf numFmtId="1" fontId="3" fillId="6" borderId="8" xfId="0" applyNumberFormat="1" applyFont="1" applyFill="1" applyBorder="1"/>
    <xf numFmtId="0" fontId="3" fillId="6" borderId="0" xfId="0" applyFont="1" applyFill="1"/>
    <xf numFmtId="0" fontId="3" fillId="6" borderId="4" xfId="0" applyFont="1" applyFill="1" applyBorder="1"/>
    <xf numFmtId="0" fontId="6" fillId="6" borderId="10" xfId="0" applyFont="1" applyFill="1" applyBorder="1" applyAlignment="1">
      <alignment horizontal="center"/>
    </xf>
    <xf numFmtId="0" fontId="6" fillId="6" borderId="0" xfId="0" applyFont="1" applyFill="1" applyAlignment="1">
      <alignment horizontal="center"/>
    </xf>
    <xf numFmtId="8" fontId="6" fillId="6" borderId="3" xfId="0" applyNumberFormat="1" applyFont="1" applyFill="1" applyBorder="1" applyAlignment="1">
      <alignment horizontal="center"/>
    </xf>
    <xf numFmtId="164" fontId="6" fillId="6" borderId="3" xfId="0" applyNumberFormat="1" applyFont="1" applyFill="1" applyBorder="1" applyAlignment="1">
      <alignment horizontal="center"/>
    </xf>
    <xf numFmtId="3" fontId="6" fillId="6" borderId="1" xfId="0" applyNumberFormat="1" applyFont="1" applyFill="1" applyBorder="1"/>
    <xf numFmtId="3" fontId="6" fillId="6" borderId="8" xfId="0" applyNumberFormat="1" applyFont="1" applyFill="1" applyBorder="1"/>
    <xf numFmtId="0" fontId="9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2"/>
  <sheetViews>
    <sheetView tabSelected="1" workbookViewId="0">
      <selection activeCell="F2" sqref="F2"/>
    </sheetView>
  </sheetViews>
  <sheetFormatPr defaultColWidth="9.140625" defaultRowHeight="12.75" x14ac:dyDescent="0.2"/>
  <cols>
    <col min="1" max="1" width="29.5703125" style="1" customWidth="1"/>
    <col min="2" max="2" width="10.140625" style="1" customWidth="1"/>
    <col min="3" max="3" width="9.5703125" style="1" customWidth="1"/>
    <col min="4" max="4" width="8.28515625" style="1" customWidth="1"/>
    <col min="5" max="5" width="14" style="1" customWidth="1"/>
    <col min="6" max="6" width="6.7109375" style="1" customWidth="1"/>
    <col min="7" max="7" width="10.42578125" style="1" customWidth="1"/>
    <col min="8" max="8" width="14.85546875" style="1" customWidth="1"/>
    <col min="9" max="11" width="15.28515625" style="1" customWidth="1"/>
    <col min="12" max="16384" width="9.140625" style="1"/>
  </cols>
  <sheetData>
    <row r="1" spans="1:14" ht="15.75" x14ac:dyDescent="0.25">
      <c r="A1" s="4" t="s">
        <v>77</v>
      </c>
      <c r="B1" s="5"/>
      <c r="C1" s="5"/>
      <c r="D1" s="5"/>
    </row>
    <row r="2" spans="1:14" ht="15.75" x14ac:dyDescent="0.25">
      <c r="A2" s="27" t="s">
        <v>82</v>
      </c>
      <c r="B2" s="5"/>
      <c r="C2" s="5"/>
      <c r="D2" s="5"/>
    </row>
    <row r="3" spans="1:14" ht="15.75" x14ac:dyDescent="0.25">
      <c r="A3" s="4" t="s">
        <v>0</v>
      </c>
      <c r="B3" s="6"/>
      <c r="D3" s="5"/>
    </row>
    <row r="4" spans="1:14" ht="15.75" x14ac:dyDescent="0.25">
      <c r="A4" s="13" t="s">
        <v>1</v>
      </c>
      <c r="B4" s="14"/>
      <c r="C4" s="14"/>
      <c r="D4" s="14"/>
      <c r="E4" s="15"/>
      <c r="H4" s="5"/>
      <c r="I4" s="7"/>
      <c r="J4" s="7"/>
      <c r="K4" s="7"/>
    </row>
    <row r="5" spans="1:14" s="7" customFormat="1" x14ac:dyDescent="0.2">
      <c r="A5" s="23" t="s">
        <v>2</v>
      </c>
      <c r="B5" s="23" t="s">
        <v>3</v>
      </c>
      <c r="C5" s="23" t="s">
        <v>4</v>
      </c>
      <c r="D5" s="23" t="s">
        <v>5</v>
      </c>
      <c r="E5" s="24" t="s">
        <v>6</v>
      </c>
      <c r="F5" s="8"/>
      <c r="G5" s="1"/>
      <c r="H5" s="1"/>
      <c r="I5" s="40"/>
      <c r="J5" s="99" t="s">
        <v>7</v>
      </c>
      <c r="K5" s="39"/>
      <c r="N5" s="1"/>
    </row>
    <row r="6" spans="1:14" x14ac:dyDescent="0.2">
      <c r="A6" s="51" t="s">
        <v>8</v>
      </c>
      <c r="B6" s="51" t="s">
        <v>9</v>
      </c>
      <c r="C6" s="52">
        <v>0.95</v>
      </c>
      <c r="D6" s="51">
        <v>150</v>
      </c>
      <c r="E6" s="53">
        <f t="shared" ref="E6:E11" si="0">(C6*D6)</f>
        <v>142.5</v>
      </c>
      <c r="F6" s="9"/>
      <c r="G6" s="19"/>
      <c r="H6" s="19"/>
      <c r="I6" s="47" t="s">
        <v>10</v>
      </c>
      <c r="J6" s="48" t="s">
        <v>11</v>
      </c>
      <c r="K6" s="47" t="s">
        <v>12</v>
      </c>
    </row>
    <row r="7" spans="1:14" x14ac:dyDescent="0.2">
      <c r="A7" s="51" t="s">
        <v>13</v>
      </c>
      <c r="B7" s="51" t="s">
        <v>9</v>
      </c>
      <c r="C7" s="52">
        <v>0.91</v>
      </c>
      <c r="D7" s="51">
        <v>100</v>
      </c>
      <c r="E7" s="53">
        <f t="shared" si="0"/>
        <v>91</v>
      </c>
      <c r="F7" s="9"/>
      <c r="G7" s="18" t="s">
        <v>14</v>
      </c>
      <c r="H7" s="13"/>
      <c r="I7" s="49">
        <v>1.4</v>
      </c>
      <c r="J7" s="50">
        <v>1.1000000000000001</v>
      </c>
      <c r="K7" s="49">
        <v>0.9</v>
      </c>
    </row>
    <row r="8" spans="1:14" x14ac:dyDescent="0.2">
      <c r="A8" s="51" t="s">
        <v>15</v>
      </c>
      <c r="B8" s="51" t="s">
        <v>9</v>
      </c>
      <c r="C8" s="52">
        <v>0.54</v>
      </c>
      <c r="D8" s="51">
        <v>150</v>
      </c>
      <c r="E8" s="53">
        <f t="shared" si="0"/>
        <v>81</v>
      </c>
      <c r="F8" s="9"/>
      <c r="G8" s="45" t="s">
        <v>16</v>
      </c>
      <c r="H8" s="46">
        <v>8000</v>
      </c>
      <c r="I8" s="25">
        <f>I7*H8-($E$28+$E$44)</f>
        <v>6943.476279999999</v>
      </c>
      <c r="J8" s="25">
        <f>J7*H8-($E$28+$E$44)</f>
        <v>4543.476279999999</v>
      </c>
      <c r="K8" s="25">
        <f>K7*H8-($E$28+$E$44)</f>
        <v>2943.476279999999</v>
      </c>
    </row>
    <row r="9" spans="1:14" x14ac:dyDescent="0.2">
      <c r="A9" s="51" t="s">
        <v>17</v>
      </c>
      <c r="B9" s="51" t="s">
        <v>18</v>
      </c>
      <c r="C9" s="52">
        <v>57</v>
      </c>
      <c r="D9" s="51">
        <v>1</v>
      </c>
      <c r="E9" s="53">
        <f t="shared" si="0"/>
        <v>57</v>
      </c>
      <c r="F9" s="9"/>
      <c r="G9" s="45" t="s">
        <v>19</v>
      </c>
      <c r="H9" s="46">
        <v>5000</v>
      </c>
      <c r="I9" s="25">
        <f>I7*H9-($E$28+$E$44)</f>
        <v>2743.476279999999</v>
      </c>
      <c r="J9" s="25">
        <f>J7*H9-($E$28+$E$44)</f>
        <v>1243.476279999999</v>
      </c>
      <c r="K9" s="25">
        <f>K7*H9-($E$28+$E$44)</f>
        <v>243.47627999999895</v>
      </c>
    </row>
    <row r="10" spans="1:14" x14ac:dyDescent="0.2">
      <c r="A10" s="51" t="s">
        <v>20</v>
      </c>
      <c r="B10" s="51" t="s">
        <v>9</v>
      </c>
      <c r="C10" s="52">
        <v>1.74</v>
      </c>
      <c r="D10" s="51">
        <v>1.5</v>
      </c>
      <c r="E10" s="53">
        <f t="shared" si="0"/>
        <v>2.61</v>
      </c>
      <c r="F10" s="9"/>
      <c r="G10" s="45" t="s">
        <v>21</v>
      </c>
      <c r="H10" s="46">
        <v>3000</v>
      </c>
      <c r="I10" s="25">
        <f>I7*H10-($E$28+$E$44)</f>
        <v>-56.523720000001049</v>
      </c>
      <c r="J10" s="25">
        <f>J7*H10-($E$28+$E$44)</f>
        <v>-956.52372000000059</v>
      </c>
      <c r="K10" s="25">
        <f>K7*H10-($E$28+$E$44)</f>
        <v>-1556.523720000001</v>
      </c>
    </row>
    <row r="11" spans="1:14" x14ac:dyDescent="0.2">
      <c r="A11" s="51" t="s">
        <v>68</v>
      </c>
      <c r="B11" s="51" t="s">
        <v>9</v>
      </c>
      <c r="C11" s="52">
        <v>0.65</v>
      </c>
      <c r="D11" s="51">
        <v>20</v>
      </c>
      <c r="E11" s="53">
        <f t="shared" si="0"/>
        <v>13</v>
      </c>
      <c r="F11" s="9"/>
      <c r="G11" s="19"/>
      <c r="H11" s="1" t="s">
        <v>73</v>
      </c>
      <c r="I11" s="9"/>
      <c r="J11" s="9"/>
      <c r="K11" s="9"/>
    </row>
    <row r="12" spans="1:14" ht="15.75" x14ac:dyDescent="0.25">
      <c r="A12" s="51" t="s">
        <v>22</v>
      </c>
      <c r="B12" s="51" t="s">
        <v>23</v>
      </c>
      <c r="C12" s="52">
        <v>0.08</v>
      </c>
      <c r="D12" s="54">
        <v>7260</v>
      </c>
      <c r="E12" s="53">
        <f t="shared" ref="E12:E14" si="1">(C12*D12)</f>
        <v>580.80000000000007</v>
      </c>
      <c r="F12" s="9"/>
      <c r="G12"/>
      <c r="H12" s="61" t="s">
        <v>84</v>
      </c>
      <c r="I12"/>
      <c r="J12"/>
      <c r="K12"/>
    </row>
    <row r="13" spans="1:14" x14ac:dyDescent="0.2">
      <c r="A13" s="51" t="s">
        <v>25</v>
      </c>
      <c r="B13" s="51" t="s">
        <v>26</v>
      </c>
      <c r="C13" s="52">
        <v>99.21</v>
      </c>
      <c r="D13" s="51">
        <v>4</v>
      </c>
      <c r="E13" s="53">
        <f t="shared" si="1"/>
        <v>396.84</v>
      </c>
      <c r="F13" s="9"/>
      <c r="I13" s="16"/>
      <c r="J13" s="62" t="s">
        <v>91</v>
      </c>
      <c r="K13" s="63"/>
    </row>
    <row r="14" spans="1:14" x14ac:dyDescent="0.2">
      <c r="A14" s="51" t="s">
        <v>28</v>
      </c>
      <c r="B14" s="51" t="s">
        <v>29</v>
      </c>
      <c r="C14" s="52">
        <v>12.5</v>
      </c>
      <c r="D14" s="54">
        <v>55</v>
      </c>
      <c r="E14" s="53">
        <f t="shared" si="1"/>
        <v>687.5</v>
      </c>
      <c r="F14" s="9"/>
      <c r="G14"/>
      <c r="H14"/>
      <c r="I14" s="64" t="s">
        <v>10</v>
      </c>
      <c r="J14" s="65" t="s">
        <v>11</v>
      </c>
      <c r="K14" s="64" t="s">
        <v>12</v>
      </c>
    </row>
    <row r="15" spans="1:14" x14ac:dyDescent="0.2">
      <c r="A15" s="51" t="s">
        <v>32</v>
      </c>
      <c r="B15" s="51" t="s">
        <v>33</v>
      </c>
      <c r="C15" s="52">
        <v>16.55</v>
      </c>
      <c r="D15" s="51">
        <v>6</v>
      </c>
      <c r="E15" s="53">
        <f>C15*D15</f>
        <v>99.300000000000011</v>
      </c>
      <c r="F15" s="9"/>
      <c r="G15" s="66" t="s">
        <v>90</v>
      </c>
      <c r="H15" s="67"/>
      <c r="I15" s="68">
        <v>1.4</v>
      </c>
      <c r="J15" s="69">
        <v>1.1000000000000001</v>
      </c>
      <c r="K15" s="68">
        <v>0.9</v>
      </c>
    </row>
    <row r="16" spans="1:14" ht="15" x14ac:dyDescent="0.2">
      <c r="A16" s="51" t="s">
        <v>71</v>
      </c>
      <c r="B16" s="51" t="s">
        <v>36</v>
      </c>
      <c r="C16" s="52">
        <v>4.9400000000000004</v>
      </c>
      <c r="D16" s="51">
        <v>1.2</v>
      </c>
      <c r="E16" s="53">
        <f t="shared" ref="E16:E20" si="2">C16*D16</f>
        <v>5.9279999999999999</v>
      </c>
      <c r="F16" s="9"/>
      <c r="G16" s="70" t="s">
        <v>16</v>
      </c>
      <c r="H16" s="71">
        <v>8000</v>
      </c>
      <c r="I16" s="26">
        <f>I8/$H$8</f>
        <v>0.86793453499999984</v>
      </c>
      <c r="J16" s="26">
        <f>J8/$H$8</f>
        <v>0.56793453499999991</v>
      </c>
      <c r="K16" s="26">
        <f t="shared" ref="K16" si="3">K8/$H$8</f>
        <v>0.3679345349999999</v>
      </c>
    </row>
    <row r="17" spans="1:11" ht="15" x14ac:dyDescent="0.2">
      <c r="A17" s="51" t="s">
        <v>65</v>
      </c>
      <c r="B17" s="51" t="s">
        <v>37</v>
      </c>
      <c r="C17" s="52">
        <v>38</v>
      </c>
      <c r="D17" s="51">
        <v>0.3</v>
      </c>
      <c r="E17" s="53">
        <f t="shared" si="2"/>
        <v>11.4</v>
      </c>
      <c r="F17" s="9"/>
      <c r="G17" s="70" t="s">
        <v>19</v>
      </c>
      <c r="H17" s="71">
        <v>5000</v>
      </c>
      <c r="I17" s="26">
        <f>I9/$H$9</f>
        <v>0.5486952559999998</v>
      </c>
      <c r="J17" s="26">
        <f>J9/$H$9</f>
        <v>0.24869525599999978</v>
      </c>
      <c r="K17" s="26">
        <f>K9/$H$9</f>
        <v>4.8695255999999791E-2</v>
      </c>
    </row>
    <row r="18" spans="1:11" ht="15" x14ac:dyDescent="0.2">
      <c r="A18" s="51" t="s">
        <v>66</v>
      </c>
      <c r="B18" s="51" t="s">
        <v>36</v>
      </c>
      <c r="C18" s="52">
        <v>6.25</v>
      </c>
      <c r="D18" s="51">
        <v>0.75</v>
      </c>
      <c r="E18" s="53">
        <f t="shared" si="2"/>
        <v>4.6875</v>
      </c>
      <c r="F18" s="9"/>
      <c r="G18" s="70" t="s">
        <v>21</v>
      </c>
      <c r="H18" s="71">
        <v>3000</v>
      </c>
      <c r="I18" s="26">
        <f>I10/$H$10</f>
        <v>-1.8841240000000349E-2</v>
      </c>
      <c r="J18" s="26">
        <f>J10/$H$10</f>
        <v>-0.31884124000000019</v>
      </c>
      <c r="K18" s="26">
        <f>K10/$H$10</f>
        <v>-0.51884124000000031</v>
      </c>
    </row>
    <row r="19" spans="1:11" x14ac:dyDescent="0.2">
      <c r="A19" s="51" t="s">
        <v>78</v>
      </c>
      <c r="B19" s="51" t="s">
        <v>36</v>
      </c>
      <c r="C19" s="52">
        <v>3.56</v>
      </c>
      <c r="D19" s="51">
        <f>7*2</f>
        <v>14</v>
      </c>
      <c r="E19" s="53">
        <f t="shared" si="2"/>
        <v>49.84</v>
      </c>
      <c r="F19" s="9"/>
      <c r="G19"/>
      <c r="H19"/>
      <c r="I19"/>
      <c r="J19"/>
      <c r="K19"/>
    </row>
    <row r="20" spans="1:11" x14ac:dyDescent="0.2">
      <c r="A20" s="51" t="s">
        <v>79</v>
      </c>
      <c r="B20" s="51" t="s">
        <v>40</v>
      </c>
      <c r="C20" s="52">
        <v>7.66</v>
      </c>
      <c r="D20" s="51">
        <f>1*2.5</f>
        <v>2.5</v>
      </c>
      <c r="E20" s="53">
        <f t="shared" si="2"/>
        <v>19.149999999999999</v>
      </c>
      <c r="F20" s="9"/>
      <c r="G20" s="72" t="s">
        <v>85</v>
      </c>
      <c r="H20" s="67"/>
      <c r="I20" s="67"/>
      <c r="J20"/>
      <c r="K20"/>
    </row>
    <row r="21" spans="1:11" x14ac:dyDescent="0.2">
      <c r="A21" s="51" t="s">
        <v>69</v>
      </c>
      <c r="B21" s="51" t="s">
        <v>37</v>
      </c>
      <c r="C21" s="52">
        <v>2.31</v>
      </c>
      <c r="D21" s="51">
        <f>1*8</f>
        <v>8</v>
      </c>
      <c r="E21" s="53">
        <f>(C21*D21)</f>
        <v>18.48</v>
      </c>
      <c r="F21" s="9"/>
      <c r="G21" s="66" t="s">
        <v>90</v>
      </c>
      <c r="H21" s="67"/>
      <c r="I21" s="73"/>
      <c r="J21"/>
      <c r="K21"/>
    </row>
    <row r="22" spans="1:11" x14ac:dyDescent="0.2">
      <c r="A22" s="51" t="s">
        <v>89</v>
      </c>
      <c r="B22" s="51" t="s">
        <v>40</v>
      </c>
      <c r="C22" s="52">
        <v>6.42</v>
      </c>
      <c r="D22" s="51">
        <f>5*3</f>
        <v>15</v>
      </c>
      <c r="E22" s="53">
        <f t="shared" ref="E22" si="4">(C22*D22)</f>
        <v>96.3</v>
      </c>
      <c r="F22" s="9"/>
      <c r="G22" s="70" t="s">
        <v>16</v>
      </c>
      <c r="H22" s="71">
        <v>8000</v>
      </c>
      <c r="I22" s="26">
        <f>$E$46/H22</f>
        <v>0.53206546500000018</v>
      </c>
      <c r="J22"/>
      <c r="K22"/>
    </row>
    <row r="23" spans="1:11" x14ac:dyDescent="0.2">
      <c r="A23" s="51" t="s">
        <v>44</v>
      </c>
      <c r="B23" s="51" t="s">
        <v>45</v>
      </c>
      <c r="C23" s="52">
        <v>70</v>
      </c>
      <c r="D23" s="51">
        <v>1.5</v>
      </c>
      <c r="E23" s="53">
        <f>(C23*D23)</f>
        <v>105</v>
      </c>
      <c r="F23" s="9"/>
      <c r="G23" s="70" t="s">
        <v>19</v>
      </c>
      <c r="H23" s="71">
        <v>5000</v>
      </c>
      <c r="I23" s="26">
        <f>$E$46/H23</f>
        <v>0.85130474400000022</v>
      </c>
      <c r="J23"/>
      <c r="K23"/>
    </row>
    <row r="24" spans="1:11" x14ac:dyDescent="0.2">
      <c r="A24" s="51" t="s">
        <v>47</v>
      </c>
      <c r="B24" s="51" t="s">
        <v>42</v>
      </c>
      <c r="C24" s="52">
        <v>99.72</v>
      </c>
      <c r="D24" s="51">
        <v>1</v>
      </c>
      <c r="E24" s="53">
        <f t="shared" ref="E24:E25" si="5">C24*D24</f>
        <v>99.72</v>
      </c>
      <c r="F24" s="9"/>
      <c r="G24" s="70" t="s">
        <v>21</v>
      </c>
      <c r="H24" s="71">
        <v>3000</v>
      </c>
      <c r="I24" s="26">
        <f t="shared" ref="I24" si="6">$E$46/H24</f>
        <v>1.4188412400000003</v>
      </c>
      <c r="J24"/>
      <c r="K24"/>
    </row>
    <row r="25" spans="1:11" x14ac:dyDescent="0.2">
      <c r="A25" s="51" t="s">
        <v>48</v>
      </c>
      <c r="B25" s="51" t="s">
        <v>42</v>
      </c>
      <c r="C25" s="52">
        <v>25</v>
      </c>
      <c r="D25" s="51">
        <v>1</v>
      </c>
      <c r="E25" s="53">
        <f t="shared" si="5"/>
        <v>25</v>
      </c>
      <c r="F25" s="9"/>
      <c r="H25" s="41"/>
    </row>
    <row r="26" spans="1:11" x14ac:dyDescent="0.2">
      <c r="A26" s="51" t="s">
        <v>49</v>
      </c>
      <c r="B26" s="51" t="s">
        <v>33</v>
      </c>
      <c r="C26" s="52">
        <v>16.55</v>
      </c>
      <c r="D26" s="51">
        <v>48</v>
      </c>
      <c r="E26" s="53">
        <f>(C26*D26)</f>
        <v>794.40000000000009</v>
      </c>
      <c r="F26" s="9"/>
      <c r="G26" s="13" t="s">
        <v>24</v>
      </c>
      <c r="H26" s="16"/>
      <c r="I26" s="15"/>
      <c r="J26" s="15"/>
      <c r="K26" s="15"/>
    </row>
    <row r="27" spans="1:11" ht="15" x14ac:dyDescent="0.2">
      <c r="A27" s="28" t="s">
        <v>50</v>
      </c>
      <c r="B27" s="26">
        <f>SUM(E6:E26)</f>
        <v>3381.4555000000005</v>
      </c>
      <c r="C27" s="38">
        <v>6</v>
      </c>
      <c r="D27" s="55">
        <v>0.08</v>
      </c>
      <c r="E27" s="17">
        <f>B27*(C27/12)*D27</f>
        <v>135.25822000000002</v>
      </c>
      <c r="F27" s="9"/>
      <c r="G27" s="13" t="s">
        <v>27</v>
      </c>
      <c r="H27" s="16"/>
      <c r="I27" s="15"/>
      <c r="J27" s="15"/>
      <c r="K27" s="15"/>
    </row>
    <row r="28" spans="1:11" x14ac:dyDescent="0.2">
      <c r="A28" s="20" t="s">
        <v>51</v>
      </c>
      <c r="B28" s="21"/>
      <c r="C28" s="21"/>
      <c r="D28" s="21"/>
      <c r="E28" s="22">
        <f>SUM(E6:E27)</f>
        <v>3516.7137200000006</v>
      </c>
      <c r="F28" s="9"/>
      <c r="G28" s="30" t="s">
        <v>30</v>
      </c>
      <c r="H28" s="43">
        <v>6</v>
      </c>
      <c r="I28" s="31" t="s">
        <v>31</v>
      </c>
      <c r="J28" s="31"/>
      <c r="K28" s="32"/>
    </row>
    <row r="29" spans="1:11" x14ac:dyDescent="0.2">
      <c r="A29" s="12"/>
      <c r="E29" s="11"/>
      <c r="F29" s="9"/>
      <c r="G29" s="33" t="s">
        <v>34</v>
      </c>
      <c r="H29" s="56">
        <v>2</v>
      </c>
      <c r="I29" s="57" t="s">
        <v>35</v>
      </c>
      <c r="J29" s="57"/>
      <c r="K29" s="34"/>
    </row>
    <row r="30" spans="1:11" ht="15" x14ac:dyDescent="0.2">
      <c r="A30" s="13" t="s">
        <v>52</v>
      </c>
      <c r="B30" s="16"/>
      <c r="C30" s="16"/>
      <c r="D30" s="16"/>
      <c r="E30" s="16"/>
      <c r="F30" s="9"/>
      <c r="G30" s="33" t="s">
        <v>34</v>
      </c>
      <c r="H30" s="58">
        <f>1-(((43560/H28)*3)/43560)</f>
        <v>0.5</v>
      </c>
      <c r="I30" s="57" t="s">
        <v>80</v>
      </c>
      <c r="J30" s="57"/>
      <c r="K30" s="34"/>
    </row>
    <row r="31" spans="1:11" x14ac:dyDescent="0.2">
      <c r="A31" s="23" t="s">
        <v>2</v>
      </c>
      <c r="B31" s="23" t="s">
        <v>3</v>
      </c>
      <c r="C31" s="23" t="s">
        <v>4</v>
      </c>
      <c r="D31" s="23" t="s">
        <v>5</v>
      </c>
      <c r="E31" s="24" t="s">
        <v>6</v>
      </c>
      <c r="F31" s="9"/>
      <c r="G31" s="33" t="s">
        <v>34</v>
      </c>
      <c r="H31" s="59">
        <f>43560/H28</f>
        <v>7260</v>
      </c>
      <c r="I31" s="57" t="s">
        <v>38</v>
      </c>
      <c r="J31" s="57"/>
      <c r="K31" s="34"/>
    </row>
    <row r="32" spans="1:11" x14ac:dyDescent="0.2">
      <c r="A32" s="51" t="s">
        <v>54</v>
      </c>
      <c r="B32" s="51" t="s">
        <v>55</v>
      </c>
      <c r="C32" s="52">
        <v>9.24</v>
      </c>
      <c r="D32" s="51">
        <v>1</v>
      </c>
      <c r="E32" s="53">
        <f>C32*D32</f>
        <v>9.24</v>
      </c>
      <c r="F32" s="9"/>
      <c r="G32" s="35" t="s">
        <v>34</v>
      </c>
      <c r="H32" s="36">
        <f>H31/H29</f>
        <v>3630</v>
      </c>
      <c r="I32" s="37" t="s">
        <v>39</v>
      </c>
      <c r="J32" s="37"/>
      <c r="K32" s="60"/>
    </row>
    <row r="33" spans="1:14" x14ac:dyDescent="0.2">
      <c r="A33" s="51" t="s">
        <v>56</v>
      </c>
      <c r="B33" s="51" t="s">
        <v>55</v>
      </c>
      <c r="C33" s="52">
        <v>10.220000000000001</v>
      </c>
      <c r="D33" s="51">
        <v>8</v>
      </c>
      <c r="E33" s="53">
        <f>C33*D33</f>
        <v>81.760000000000005</v>
      </c>
      <c r="F33" s="9"/>
    </row>
    <row r="34" spans="1:14" x14ac:dyDescent="0.2">
      <c r="A34" s="51" t="s">
        <v>57</v>
      </c>
      <c r="B34" s="51" t="s">
        <v>42</v>
      </c>
      <c r="C34" s="52">
        <v>18.7</v>
      </c>
      <c r="D34" s="51">
        <v>1</v>
      </c>
      <c r="E34" s="53">
        <f>C34*D34</f>
        <v>18.7</v>
      </c>
      <c r="F34" s="9"/>
    </row>
    <row r="35" spans="1:14" x14ac:dyDescent="0.2">
      <c r="A35" s="51" t="s">
        <v>58</v>
      </c>
      <c r="B35" s="51" t="s">
        <v>42</v>
      </c>
      <c r="C35" s="52">
        <v>31.16</v>
      </c>
      <c r="D35" s="51">
        <v>1</v>
      </c>
      <c r="E35" s="53">
        <f t="shared" ref="E35:E41" si="7">C35*D35</f>
        <v>31.16</v>
      </c>
      <c r="F35" s="9"/>
    </row>
    <row r="36" spans="1:14" x14ac:dyDescent="0.2">
      <c r="A36" s="51" t="s">
        <v>59</v>
      </c>
      <c r="B36" s="51" t="s">
        <v>42</v>
      </c>
      <c r="C36" s="52">
        <v>23.87</v>
      </c>
      <c r="D36" s="51">
        <v>1</v>
      </c>
      <c r="E36" s="53">
        <f t="shared" si="7"/>
        <v>23.87</v>
      </c>
      <c r="F36" s="9"/>
    </row>
    <row r="37" spans="1:14" x14ac:dyDescent="0.2">
      <c r="A37" s="51" t="s">
        <v>60</v>
      </c>
      <c r="B37" s="51" t="s">
        <v>42</v>
      </c>
      <c r="C37" s="52">
        <v>19.91</v>
      </c>
      <c r="D37" s="51">
        <v>1</v>
      </c>
      <c r="E37" s="53">
        <f t="shared" si="7"/>
        <v>19.91</v>
      </c>
      <c r="F37" s="9"/>
    </row>
    <row r="38" spans="1:14" x14ac:dyDescent="0.2">
      <c r="A38" s="51" t="s">
        <v>41</v>
      </c>
      <c r="B38" s="51" t="s">
        <v>42</v>
      </c>
      <c r="C38" s="52">
        <v>168.28</v>
      </c>
      <c r="D38" s="51">
        <v>1</v>
      </c>
      <c r="E38" s="53">
        <f>C38*D38</f>
        <v>168.28</v>
      </c>
      <c r="F38" s="11"/>
    </row>
    <row r="39" spans="1:14" x14ac:dyDescent="0.2">
      <c r="A39" s="51" t="s">
        <v>43</v>
      </c>
      <c r="B39" s="51" t="s">
        <v>42</v>
      </c>
      <c r="C39" s="52">
        <v>18.7</v>
      </c>
      <c r="D39" s="51">
        <v>1</v>
      </c>
      <c r="E39" s="53">
        <f>C39*D39</f>
        <v>18.7</v>
      </c>
      <c r="F39" s="11"/>
    </row>
    <row r="40" spans="1:14" x14ac:dyDescent="0.2">
      <c r="A40" s="51" t="s">
        <v>46</v>
      </c>
      <c r="B40" s="51" t="s">
        <v>42</v>
      </c>
      <c r="C40" s="52">
        <v>12.47</v>
      </c>
      <c r="D40" s="51">
        <v>1</v>
      </c>
      <c r="E40" s="53">
        <f>C40*D40</f>
        <v>12.47</v>
      </c>
      <c r="F40" s="11"/>
    </row>
    <row r="41" spans="1:14" ht="15" x14ac:dyDescent="0.2">
      <c r="A41" s="51" t="s">
        <v>74</v>
      </c>
      <c r="B41" s="51" t="s">
        <v>81</v>
      </c>
      <c r="C41" s="52">
        <v>200</v>
      </c>
      <c r="D41" s="51">
        <v>1</v>
      </c>
      <c r="E41" s="53">
        <f t="shared" si="7"/>
        <v>200</v>
      </c>
      <c r="F41" s="11"/>
    </row>
    <row r="42" spans="1:14" ht="15" x14ac:dyDescent="0.2">
      <c r="A42" s="51" t="s">
        <v>75</v>
      </c>
      <c r="B42" s="51" t="s">
        <v>61</v>
      </c>
      <c r="C42" s="52">
        <v>7.68</v>
      </c>
      <c r="D42" s="51">
        <v>4</v>
      </c>
      <c r="E42" s="53">
        <f>C42*D42</f>
        <v>30.72</v>
      </c>
      <c r="F42" s="11"/>
    </row>
    <row r="43" spans="1:14" x14ac:dyDescent="0.2">
      <c r="A43" s="51" t="s">
        <v>83</v>
      </c>
      <c r="B43" s="51" t="s">
        <v>42</v>
      </c>
      <c r="C43" s="52">
        <v>125</v>
      </c>
      <c r="D43" s="51">
        <v>1</v>
      </c>
      <c r="E43" s="53">
        <f>C43*D43</f>
        <v>125</v>
      </c>
      <c r="F43" s="11"/>
      <c r="N43" s="1" t="s">
        <v>53</v>
      </c>
    </row>
    <row r="44" spans="1:14" x14ac:dyDescent="0.2">
      <c r="A44" s="20" t="s">
        <v>62</v>
      </c>
      <c r="B44" s="21"/>
      <c r="C44" s="21"/>
      <c r="D44" s="21"/>
      <c r="E44" s="22">
        <f>SUM(E32:E43)</f>
        <v>739.81000000000006</v>
      </c>
      <c r="F44" s="8"/>
    </row>
    <row r="45" spans="1:14" x14ac:dyDescent="0.2">
      <c r="F45" s="8"/>
    </row>
    <row r="46" spans="1:14" x14ac:dyDescent="0.2">
      <c r="A46" s="74" t="s">
        <v>86</v>
      </c>
      <c r="B46" s="75"/>
      <c r="C46" s="76"/>
      <c r="D46" s="76"/>
      <c r="E46" s="77">
        <f>E44+E28</f>
        <v>4256.523720000001</v>
      </c>
      <c r="F46" s="9"/>
    </row>
    <row r="47" spans="1:14" x14ac:dyDescent="0.2">
      <c r="A47" s="74" t="s">
        <v>87</v>
      </c>
      <c r="B47" s="75"/>
      <c r="C47" s="76"/>
      <c r="D47" s="76"/>
      <c r="E47" s="77">
        <f>H9*J7</f>
        <v>5500</v>
      </c>
    </row>
    <row r="48" spans="1:14" x14ac:dyDescent="0.2">
      <c r="A48" s="74" t="s">
        <v>88</v>
      </c>
      <c r="B48" s="78"/>
      <c r="C48" s="79"/>
      <c r="D48" s="79"/>
      <c r="E48" s="80">
        <f>SUM(E47-E46)</f>
        <v>1243.476279999999</v>
      </c>
      <c r="F48" s="9"/>
    </row>
    <row r="49" spans="1:12" x14ac:dyDescent="0.2">
      <c r="L49" s="42"/>
    </row>
    <row r="50" spans="1:12" ht="15" x14ac:dyDescent="0.2">
      <c r="A50" s="44" t="s">
        <v>70</v>
      </c>
      <c r="F50" s="9"/>
      <c r="G50" s="29">
        <f>H30</f>
        <v>0.5</v>
      </c>
      <c r="H50" s="1" t="s">
        <v>67</v>
      </c>
      <c r="I50" s="10"/>
      <c r="J50" s="10"/>
      <c r="K50" s="10"/>
    </row>
    <row r="51" spans="1:12" x14ac:dyDescent="0.2">
      <c r="B51" s="2"/>
      <c r="C51" s="2"/>
      <c r="D51" s="2"/>
      <c r="E51" s="3"/>
      <c r="F51" s="9"/>
      <c r="G51" s="10"/>
      <c r="H51" s="10"/>
      <c r="I51" s="10"/>
      <c r="J51" s="10"/>
      <c r="K51" s="10"/>
    </row>
    <row r="52" spans="1:12" ht="15" x14ac:dyDescent="0.2">
      <c r="A52" s="1" t="s">
        <v>72</v>
      </c>
      <c r="F52" s="9"/>
      <c r="G52" s="10"/>
      <c r="H52" s="10"/>
    </row>
    <row r="53" spans="1:12" x14ac:dyDescent="0.2">
      <c r="F53" s="9"/>
    </row>
    <row r="54" spans="1:12" ht="15" x14ac:dyDescent="0.2">
      <c r="A54" s="1" t="s">
        <v>76</v>
      </c>
      <c r="F54" s="9"/>
    </row>
    <row r="55" spans="1:12" x14ac:dyDescent="0.2">
      <c r="A55" s="1" t="s">
        <v>63</v>
      </c>
      <c r="F55" s="9"/>
      <c r="L55" s="10"/>
    </row>
    <row r="56" spans="1:12" x14ac:dyDescent="0.2">
      <c r="A56" s="1" t="s">
        <v>64</v>
      </c>
      <c r="F56" s="9"/>
      <c r="L56" s="10"/>
    </row>
    <row r="57" spans="1:12" x14ac:dyDescent="0.2">
      <c r="F57" s="9"/>
      <c r="L57" s="10"/>
    </row>
    <row r="58" spans="1:12" x14ac:dyDescent="0.2">
      <c r="L58" s="10"/>
    </row>
    <row r="59" spans="1:12" x14ac:dyDescent="0.2">
      <c r="F59" s="9"/>
      <c r="L59" s="10"/>
    </row>
    <row r="60" spans="1:12" x14ac:dyDescent="0.2">
      <c r="F60" s="9"/>
      <c r="L60" s="10"/>
    </row>
    <row r="61" spans="1:12" x14ac:dyDescent="0.2">
      <c r="F61" s="9"/>
      <c r="L61" s="10"/>
    </row>
    <row r="62" spans="1:12" x14ac:dyDescent="0.2">
      <c r="F62" s="3"/>
      <c r="L62" s="10"/>
    </row>
    <row r="63" spans="1:12" x14ac:dyDescent="0.2">
      <c r="L63" s="10"/>
    </row>
    <row r="64" spans="1:12" x14ac:dyDescent="0.2">
      <c r="L64" s="10"/>
    </row>
    <row r="65" spans="6:12" x14ac:dyDescent="0.2">
      <c r="L65" s="10"/>
    </row>
    <row r="66" spans="6:12" x14ac:dyDescent="0.2">
      <c r="L66" s="10"/>
    </row>
    <row r="67" spans="6:12" x14ac:dyDescent="0.2">
      <c r="L67" s="10"/>
    </row>
    <row r="68" spans="6:12" x14ac:dyDescent="0.2">
      <c r="L68" s="10"/>
    </row>
    <row r="69" spans="6:12" x14ac:dyDescent="0.2">
      <c r="L69" s="10"/>
    </row>
    <row r="70" spans="6:12" x14ac:dyDescent="0.2">
      <c r="L70" s="10"/>
    </row>
    <row r="71" spans="6:12" x14ac:dyDescent="0.2">
      <c r="F71" s="3"/>
      <c r="L71" s="10"/>
    </row>
    <row r="72" spans="6:12" x14ac:dyDescent="0.2">
      <c r="L72" s="10"/>
    </row>
  </sheetData>
  <phoneticPr fontId="1" type="noConversion"/>
  <pageMargins left="0.75" right="0.75" top="1" bottom="1" header="0.5" footer="0.5"/>
  <pageSetup scale="75" orientation="portrait" cellComments="atEnd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D0CB0-F554-4929-979B-193432967D17}">
  <sheetPr>
    <pageSetUpPr fitToPage="1"/>
  </sheetPr>
  <dimension ref="A1:N85"/>
  <sheetViews>
    <sheetView workbookViewId="0"/>
  </sheetViews>
  <sheetFormatPr defaultColWidth="9.140625" defaultRowHeight="12.75" x14ac:dyDescent="0.2"/>
  <cols>
    <col min="1" max="1" width="29.5703125" style="1" customWidth="1"/>
    <col min="2" max="2" width="10.140625" style="1" customWidth="1"/>
    <col min="3" max="3" width="9.5703125" style="1" customWidth="1"/>
    <col min="4" max="4" width="8.28515625" style="1" customWidth="1"/>
    <col min="5" max="5" width="14" style="1" customWidth="1"/>
    <col min="6" max="6" width="6.7109375" style="1" customWidth="1"/>
    <col min="7" max="7" width="10.42578125" style="1" customWidth="1"/>
    <col min="8" max="8" width="14.42578125" style="1" customWidth="1"/>
    <col min="9" max="11" width="15.28515625" style="1" customWidth="1"/>
    <col min="12" max="16384" width="9.140625" style="1"/>
  </cols>
  <sheetData>
    <row r="1" spans="1:14" ht="15.75" x14ac:dyDescent="0.25">
      <c r="A1" s="4" t="s">
        <v>77</v>
      </c>
      <c r="B1" s="5"/>
      <c r="C1" s="5"/>
      <c r="D1" s="5"/>
    </row>
    <row r="2" spans="1:14" ht="15.75" x14ac:dyDescent="0.25">
      <c r="A2" s="27" t="s">
        <v>82</v>
      </c>
      <c r="B2" s="5"/>
      <c r="C2" s="5"/>
      <c r="D2" s="5"/>
    </row>
    <row r="3" spans="1:14" ht="15.75" x14ac:dyDescent="0.25">
      <c r="A3" s="4" t="s">
        <v>0</v>
      </c>
      <c r="B3" s="6"/>
      <c r="D3" s="5"/>
    </row>
    <row r="4" spans="1:14" ht="15.75" x14ac:dyDescent="0.25">
      <c r="A4" s="13" t="s">
        <v>1</v>
      </c>
      <c r="B4" s="14"/>
      <c r="C4" s="14"/>
      <c r="D4" s="14"/>
      <c r="E4" s="15"/>
      <c r="H4" s="5"/>
      <c r="I4" s="7"/>
      <c r="J4" s="7"/>
      <c r="K4" s="7"/>
    </row>
    <row r="5" spans="1:14" s="7" customFormat="1" x14ac:dyDescent="0.2">
      <c r="A5" s="23" t="s">
        <v>2</v>
      </c>
      <c r="B5" s="23" t="s">
        <v>3</v>
      </c>
      <c r="C5" s="23" t="s">
        <v>4</v>
      </c>
      <c r="D5" s="23" t="s">
        <v>5</v>
      </c>
      <c r="E5" s="24" t="s">
        <v>6</v>
      </c>
      <c r="F5" s="8"/>
      <c r="G5" s="1"/>
      <c r="H5" s="1"/>
      <c r="I5" s="40"/>
      <c r="J5" s="99" t="s">
        <v>7</v>
      </c>
      <c r="K5" s="39"/>
      <c r="N5" s="1"/>
    </row>
    <row r="6" spans="1:14" x14ac:dyDescent="0.2">
      <c r="A6" s="51" t="s">
        <v>8</v>
      </c>
      <c r="B6" s="51" t="s">
        <v>9</v>
      </c>
      <c r="C6" s="85">
        <v>0.95</v>
      </c>
      <c r="D6" s="86">
        <v>150</v>
      </c>
      <c r="E6" s="53">
        <f t="shared" ref="E6:E14" si="0">(C6*D6)</f>
        <v>142.5</v>
      </c>
      <c r="F6" s="9"/>
      <c r="G6" s="19"/>
      <c r="H6" s="19"/>
      <c r="I6" s="47" t="s">
        <v>10</v>
      </c>
      <c r="J6" s="48" t="s">
        <v>11</v>
      </c>
      <c r="K6" s="47" t="s">
        <v>12</v>
      </c>
    </row>
    <row r="7" spans="1:14" x14ac:dyDescent="0.2">
      <c r="A7" s="51" t="s">
        <v>13</v>
      </c>
      <c r="B7" s="51" t="s">
        <v>9</v>
      </c>
      <c r="C7" s="85">
        <v>0.91</v>
      </c>
      <c r="D7" s="86">
        <v>100</v>
      </c>
      <c r="E7" s="53">
        <f t="shared" si="0"/>
        <v>91</v>
      </c>
      <c r="F7" s="9"/>
      <c r="G7" s="18" t="s">
        <v>14</v>
      </c>
      <c r="H7" s="13"/>
      <c r="I7" s="95">
        <v>1.4</v>
      </c>
      <c r="J7" s="96">
        <v>1.1000000000000001</v>
      </c>
      <c r="K7" s="95">
        <v>0.9</v>
      </c>
    </row>
    <row r="8" spans="1:14" x14ac:dyDescent="0.2">
      <c r="A8" s="51" t="s">
        <v>15</v>
      </c>
      <c r="B8" s="51" t="s">
        <v>9</v>
      </c>
      <c r="C8" s="85">
        <v>0.54</v>
      </c>
      <c r="D8" s="86">
        <v>150</v>
      </c>
      <c r="E8" s="53">
        <f t="shared" si="0"/>
        <v>81</v>
      </c>
      <c r="F8" s="9"/>
      <c r="G8" s="45" t="s">
        <v>16</v>
      </c>
      <c r="H8" s="98">
        <v>8000</v>
      </c>
      <c r="I8" s="25">
        <f>I7*H8-($E$37+$E$57)</f>
        <v>6943.476279999999</v>
      </c>
      <c r="J8" s="25">
        <f>J7*H8-($E$37+$E$57)</f>
        <v>4543.476279999999</v>
      </c>
      <c r="K8" s="25">
        <f>K7*H8-($E$37+$E$57)</f>
        <v>2943.476279999999</v>
      </c>
    </row>
    <row r="9" spans="1:14" x14ac:dyDescent="0.2">
      <c r="A9" s="51" t="s">
        <v>17</v>
      </c>
      <c r="B9" s="51" t="s">
        <v>18</v>
      </c>
      <c r="C9" s="85">
        <v>57</v>
      </c>
      <c r="D9" s="86">
        <v>1</v>
      </c>
      <c r="E9" s="53">
        <f t="shared" si="0"/>
        <v>57</v>
      </c>
      <c r="F9" s="9"/>
      <c r="G9" s="45" t="s">
        <v>19</v>
      </c>
      <c r="H9" s="98">
        <v>5000</v>
      </c>
      <c r="I9" s="25">
        <f>I7*H9-($E$37+$E$57)</f>
        <v>2743.476279999999</v>
      </c>
      <c r="J9" s="25">
        <f>J7*H9-($E$37+$E$57)</f>
        <v>1243.476279999999</v>
      </c>
      <c r="K9" s="25">
        <f>K7*H9-($E$37+$E$57)</f>
        <v>243.47627999999895</v>
      </c>
    </row>
    <row r="10" spans="1:14" x14ac:dyDescent="0.2">
      <c r="A10" s="51" t="s">
        <v>20</v>
      </c>
      <c r="B10" s="51" t="s">
        <v>9</v>
      </c>
      <c r="C10" s="85">
        <v>1.74</v>
      </c>
      <c r="D10" s="86">
        <v>1.5</v>
      </c>
      <c r="E10" s="53">
        <f t="shared" si="0"/>
        <v>2.61</v>
      </c>
      <c r="F10" s="9"/>
      <c r="G10" s="45" t="s">
        <v>21</v>
      </c>
      <c r="H10" s="98">
        <v>3000</v>
      </c>
      <c r="I10" s="25">
        <f>I7*H10-($E$37+$E$57)</f>
        <v>-56.523720000001049</v>
      </c>
      <c r="J10" s="25">
        <f>J7*H10-($E$37+$E$57)</f>
        <v>-956.52372000000059</v>
      </c>
      <c r="K10" s="25">
        <f>K7*H10-($E$37+$E$57)</f>
        <v>-1556.523720000001</v>
      </c>
    </row>
    <row r="11" spans="1:14" x14ac:dyDescent="0.2">
      <c r="A11" s="51" t="s">
        <v>68</v>
      </c>
      <c r="B11" s="51" t="s">
        <v>9</v>
      </c>
      <c r="C11" s="85">
        <v>0.65</v>
      </c>
      <c r="D11" s="86">
        <v>20</v>
      </c>
      <c r="E11" s="53">
        <f t="shared" si="0"/>
        <v>13</v>
      </c>
      <c r="F11" s="9"/>
      <c r="G11" s="19"/>
      <c r="H11" s="1" t="s">
        <v>73</v>
      </c>
      <c r="I11" s="9"/>
      <c r="J11" s="9"/>
      <c r="K11" s="9"/>
    </row>
    <row r="12" spans="1:14" ht="15.75" x14ac:dyDescent="0.25">
      <c r="A12" s="51" t="s">
        <v>22</v>
      </c>
      <c r="B12" s="51" t="s">
        <v>23</v>
      </c>
      <c r="C12" s="85">
        <v>0.08</v>
      </c>
      <c r="D12" s="87">
        <v>7260</v>
      </c>
      <c r="E12" s="53">
        <f t="shared" si="0"/>
        <v>580.80000000000007</v>
      </c>
      <c r="F12" s="9"/>
      <c r="G12"/>
      <c r="H12" s="61" t="s">
        <v>84</v>
      </c>
      <c r="I12"/>
      <c r="J12"/>
      <c r="K12"/>
    </row>
    <row r="13" spans="1:14" x14ac:dyDescent="0.2">
      <c r="A13" s="51" t="s">
        <v>25</v>
      </c>
      <c r="B13" s="51" t="s">
        <v>26</v>
      </c>
      <c r="C13" s="85">
        <v>99.21</v>
      </c>
      <c r="D13" s="86">
        <v>4</v>
      </c>
      <c r="E13" s="53">
        <f t="shared" si="0"/>
        <v>396.84</v>
      </c>
      <c r="F13" s="9"/>
      <c r="I13" s="16"/>
      <c r="J13" s="62" t="s">
        <v>91</v>
      </c>
      <c r="K13" s="63"/>
    </row>
    <row r="14" spans="1:14" x14ac:dyDescent="0.2">
      <c r="A14" s="51" t="s">
        <v>28</v>
      </c>
      <c r="B14" s="51" t="s">
        <v>29</v>
      </c>
      <c r="C14" s="85">
        <v>12.5</v>
      </c>
      <c r="D14" s="87">
        <v>55</v>
      </c>
      <c r="E14" s="53">
        <f t="shared" si="0"/>
        <v>687.5</v>
      </c>
      <c r="F14" s="9"/>
      <c r="G14"/>
      <c r="H14"/>
      <c r="I14" s="64" t="s">
        <v>10</v>
      </c>
      <c r="J14" s="65" t="s">
        <v>11</v>
      </c>
      <c r="K14" s="64" t="s">
        <v>12</v>
      </c>
    </row>
    <row r="15" spans="1:14" x14ac:dyDescent="0.2">
      <c r="A15" s="51" t="s">
        <v>32</v>
      </c>
      <c r="B15" s="51" t="s">
        <v>33</v>
      </c>
      <c r="C15" s="85">
        <v>16.55</v>
      </c>
      <c r="D15" s="86">
        <v>6</v>
      </c>
      <c r="E15" s="53">
        <f>C15*D15</f>
        <v>99.300000000000011</v>
      </c>
      <c r="F15" s="9"/>
      <c r="G15" s="66" t="s">
        <v>90</v>
      </c>
      <c r="H15" s="67"/>
      <c r="I15" s="95">
        <v>1.4</v>
      </c>
      <c r="J15" s="96">
        <v>1.1000000000000001</v>
      </c>
      <c r="K15" s="95">
        <v>0.9</v>
      </c>
    </row>
    <row r="16" spans="1:14" ht="15" x14ac:dyDescent="0.2">
      <c r="A16" s="86" t="s">
        <v>71</v>
      </c>
      <c r="B16" s="86" t="s">
        <v>36</v>
      </c>
      <c r="C16" s="85">
        <v>4.9400000000000004</v>
      </c>
      <c r="D16" s="86">
        <v>1.2</v>
      </c>
      <c r="E16" s="53">
        <f t="shared" ref="E16:E20" si="1">C16*D16</f>
        <v>5.9279999999999999</v>
      </c>
      <c r="F16" s="9"/>
      <c r="G16" s="70" t="s">
        <v>16</v>
      </c>
      <c r="H16" s="97">
        <v>8000</v>
      </c>
      <c r="I16" s="26">
        <f>I8/$H$8</f>
        <v>0.86793453499999984</v>
      </c>
      <c r="J16" s="26">
        <f>J8/$H$8</f>
        <v>0.56793453499999991</v>
      </c>
      <c r="K16" s="26">
        <f t="shared" ref="K16" si="2">K8/$H$8</f>
        <v>0.3679345349999999</v>
      </c>
    </row>
    <row r="17" spans="1:11" ht="15" x14ac:dyDescent="0.2">
      <c r="A17" s="86" t="s">
        <v>65</v>
      </c>
      <c r="B17" s="86" t="s">
        <v>37</v>
      </c>
      <c r="C17" s="85">
        <v>38</v>
      </c>
      <c r="D17" s="86">
        <v>0.3</v>
      </c>
      <c r="E17" s="53">
        <f t="shared" si="1"/>
        <v>11.4</v>
      </c>
      <c r="F17" s="9"/>
      <c r="G17" s="70" t="s">
        <v>19</v>
      </c>
      <c r="H17" s="97">
        <v>5000</v>
      </c>
      <c r="I17" s="26">
        <f>I9/$H$9</f>
        <v>0.5486952559999998</v>
      </c>
      <c r="J17" s="26">
        <f>J9/$H$9</f>
        <v>0.24869525599999978</v>
      </c>
      <c r="K17" s="26">
        <f>K9/$H$9</f>
        <v>4.8695255999999791E-2</v>
      </c>
    </row>
    <row r="18" spans="1:11" ht="15" x14ac:dyDescent="0.2">
      <c r="A18" s="86" t="s">
        <v>66</v>
      </c>
      <c r="B18" s="86" t="s">
        <v>36</v>
      </c>
      <c r="C18" s="85">
        <v>6.25</v>
      </c>
      <c r="D18" s="86">
        <v>0.75</v>
      </c>
      <c r="E18" s="53">
        <f t="shared" si="1"/>
        <v>4.6875</v>
      </c>
      <c r="F18" s="9"/>
      <c r="G18" s="70" t="s">
        <v>21</v>
      </c>
      <c r="H18" s="97">
        <v>3000</v>
      </c>
      <c r="I18" s="26">
        <f>I10/$H$10</f>
        <v>-1.8841240000000349E-2</v>
      </c>
      <c r="J18" s="26">
        <f>J10/$H$10</f>
        <v>-0.31884124000000019</v>
      </c>
      <c r="K18" s="26">
        <f>K10/$H$10</f>
        <v>-0.51884124000000031</v>
      </c>
    </row>
    <row r="19" spans="1:11" x14ac:dyDescent="0.2">
      <c r="A19" s="86" t="s">
        <v>78</v>
      </c>
      <c r="B19" s="86" t="s">
        <v>36</v>
      </c>
      <c r="C19" s="85">
        <v>3.56</v>
      </c>
      <c r="D19" s="86">
        <f>7*2</f>
        <v>14</v>
      </c>
      <c r="E19" s="53">
        <f t="shared" si="1"/>
        <v>49.84</v>
      </c>
      <c r="F19" s="9"/>
      <c r="G19"/>
      <c r="H19"/>
      <c r="I19"/>
      <c r="J19"/>
      <c r="K19"/>
    </row>
    <row r="20" spans="1:11" x14ac:dyDescent="0.2">
      <c r="A20" s="86" t="s">
        <v>79</v>
      </c>
      <c r="B20" s="86" t="s">
        <v>40</v>
      </c>
      <c r="C20" s="85">
        <v>7.66</v>
      </c>
      <c r="D20" s="86">
        <f>1*2.5</f>
        <v>2.5</v>
      </c>
      <c r="E20" s="53">
        <f t="shared" si="1"/>
        <v>19.149999999999999</v>
      </c>
      <c r="F20" s="9"/>
      <c r="G20" s="72" t="s">
        <v>85</v>
      </c>
      <c r="H20" s="67"/>
      <c r="I20" s="67"/>
      <c r="J20"/>
      <c r="K20"/>
    </row>
    <row r="21" spans="1:11" x14ac:dyDescent="0.2">
      <c r="A21" s="86" t="s">
        <v>69</v>
      </c>
      <c r="B21" s="86" t="s">
        <v>37</v>
      </c>
      <c r="C21" s="85">
        <v>2.31</v>
      </c>
      <c r="D21" s="86">
        <f>1*8</f>
        <v>8</v>
      </c>
      <c r="E21" s="53">
        <f>(C21*D21)</f>
        <v>18.48</v>
      </c>
      <c r="F21" s="9"/>
      <c r="G21" s="66" t="s">
        <v>90</v>
      </c>
      <c r="H21" s="67"/>
      <c r="I21" s="73"/>
      <c r="J21"/>
      <c r="K21"/>
    </row>
    <row r="22" spans="1:11" x14ac:dyDescent="0.2">
      <c r="A22" s="86" t="s">
        <v>89</v>
      </c>
      <c r="B22" s="86" t="s">
        <v>40</v>
      </c>
      <c r="C22" s="85">
        <v>6.42</v>
      </c>
      <c r="D22" s="86">
        <f>5*3</f>
        <v>15</v>
      </c>
      <c r="E22" s="53">
        <f t="shared" ref="E22" si="3">(C22*D22)</f>
        <v>96.3</v>
      </c>
      <c r="F22" s="9"/>
      <c r="G22" s="70" t="s">
        <v>16</v>
      </c>
      <c r="H22" s="97">
        <v>8000</v>
      </c>
      <c r="I22" s="26">
        <f>$E$59/H22</f>
        <v>0.53206546500000018</v>
      </c>
      <c r="J22"/>
      <c r="K22"/>
    </row>
    <row r="23" spans="1:11" x14ac:dyDescent="0.2">
      <c r="A23" s="51" t="s">
        <v>44</v>
      </c>
      <c r="B23" s="51" t="s">
        <v>45</v>
      </c>
      <c r="C23" s="85">
        <v>70</v>
      </c>
      <c r="D23" s="86">
        <v>1.5</v>
      </c>
      <c r="E23" s="84">
        <f>(C23*D23)</f>
        <v>105</v>
      </c>
      <c r="F23" s="9"/>
      <c r="G23" s="70" t="s">
        <v>19</v>
      </c>
      <c r="H23" s="97">
        <v>5000</v>
      </c>
      <c r="I23" s="26">
        <f>$E$59/H23</f>
        <v>0.85130474400000022</v>
      </c>
      <c r="J23"/>
      <c r="K23"/>
    </row>
    <row r="24" spans="1:11" x14ac:dyDescent="0.2">
      <c r="A24" s="83" t="s">
        <v>47</v>
      </c>
      <c r="B24" s="51" t="s">
        <v>42</v>
      </c>
      <c r="C24" s="85">
        <v>99.72</v>
      </c>
      <c r="D24" s="86">
        <v>1</v>
      </c>
      <c r="E24" s="53">
        <f t="shared" ref="E24:E34" si="4">C24*D24</f>
        <v>99.72</v>
      </c>
      <c r="F24" s="9"/>
      <c r="G24" s="70" t="s">
        <v>21</v>
      </c>
      <c r="H24" s="97">
        <v>3000</v>
      </c>
      <c r="I24" s="26">
        <f>$E$59/H24</f>
        <v>1.4188412400000003</v>
      </c>
      <c r="J24"/>
      <c r="K24"/>
    </row>
    <row r="25" spans="1:11" x14ac:dyDescent="0.2">
      <c r="A25" s="83" t="s">
        <v>48</v>
      </c>
      <c r="B25" s="51" t="s">
        <v>42</v>
      </c>
      <c r="C25" s="85">
        <v>25</v>
      </c>
      <c r="D25" s="86">
        <v>1</v>
      </c>
      <c r="E25" s="53">
        <f t="shared" si="4"/>
        <v>25</v>
      </c>
      <c r="F25" s="9"/>
      <c r="H25" s="41"/>
    </row>
    <row r="26" spans="1:11" x14ac:dyDescent="0.2">
      <c r="A26" s="83" t="s">
        <v>49</v>
      </c>
      <c r="B26" s="51" t="s">
        <v>33</v>
      </c>
      <c r="C26" s="85">
        <v>16.55</v>
      </c>
      <c r="D26" s="86">
        <v>48</v>
      </c>
      <c r="E26" s="53">
        <f>(C26*D26)</f>
        <v>794.40000000000009</v>
      </c>
      <c r="F26" s="9"/>
      <c r="G26" s="13" t="s">
        <v>24</v>
      </c>
      <c r="H26" s="16"/>
      <c r="I26" s="15"/>
      <c r="J26" s="15"/>
      <c r="K26" s="15"/>
    </row>
    <row r="27" spans="1:11" x14ac:dyDescent="0.2">
      <c r="A27" s="91"/>
      <c r="B27" s="88"/>
      <c r="C27" s="88"/>
      <c r="D27" s="88"/>
      <c r="E27" s="53">
        <f t="shared" si="4"/>
        <v>0</v>
      </c>
      <c r="F27" s="9"/>
      <c r="G27" s="13" t="s">
        <v>27</v>
      </c>
      <c r="H27" s="16"/>
      <c r="I27" s="15"/>
      <c r="J27" s="15"/>
      <c r="K27" s="15"/>
    </row>
    <row r="28" spans="1:11" x14ac:dyDescent="0.2">
      <c r="A28" s="92"/>
      <c r="B28" s="85"/>
      <c r="C28" s="87"/>
      <c r="D28" s="89"/>
      <c r="E28" s="53">
        <f t="shared" si="4"/>
        <v>0</v>
      </c>
      <c r="F28" s="9"/>
      <c r="G28" s="30" t="s">
        <v>30</v>
      </c>
      <c r="H28" s="93">
        <v>6</v>
      </c>
      <c r="I28" s="31" t="s">
        <v>31</v>
      </c>
      <c r="J28" s="31"/>
      <c r="K28" s="32"/>
    </row>
    <row r="29" spans="1:11" x14ac:dyDescent="0.2">
      <c r="A29" s="92"/>
      <c r="B29" s="85"/>
      <c r="C29" s="87"/>
      <c r="D29" s="89"/>
      <c r="E29" s="53">
        <f t="shared" ref="E29" si="5">(C29*D29)</f>
        <v>0</v>
      </c>
      <c r="F29" s="9"/>
      <c r="G29" s="33" t="s">
        <v>34</v>
      </c>
      <c r="H29" s="94">
        <v>2</v>
      </c>
      <c r="I29" s="57" t="s">
        <v>35</v>
      </c>
      <c r="J29" s="57"/>
      <c r="K29" s="34"/>
    </row>
    <row r="30" spans="1:11" ht="15" x14ac:dyDescent="0.2">
      <c r="A30" s="92"/>
      <c r="B30" s="85"/>
      <c r="C30" s="87"/>
      <c r="D30" s="89"/>
      <c r="E30" s="53">
        <f t="shared" si="4"/>
        <v>0</v>
      </c>
      <c r="F30" s="9"/>
      <c r="G30" s="33" t="s">
        <v>34</v>
      </c>
      <c r="H30" s="58">
        <f>1-(((43560/H28)*3)/43560)</f>
        <v>0.5</v>
      </c>
      <c r="I30" s="57" t="s">
        <v>80</v>
      </c>
      <c r="J30" s="57"/>
      <c r="K30" s="34"/>
    </row>
    <row r="31" spans="1:11" x14ac:dyDescent="0.2">
      <c r="A31" s="92"/>
      <c r="B31" s="85"/>
      <c r="C31" s="87"/>
      <c r="D31" s="89"/>
      <c r="E31" s="53">
        <f t="shared" si="4"/>
        <v>0</v>
      </c>
      <c r="F31" s="9"/>
      <c r="G31" s="33" t="s">
        <v>34</v>
      </c>
      <c r="H31" s="59">
        <f>43560/H28</f>
        <v>7260</v>
      </c>
      <c r="I31" s="57" t="s">
        <v>38</v>
      </c>
      <c r="J31" s="57"/>
      <c r="K31" s="34"/>
    </row>
    <row r="32" spans="1:11" x14ac:dyDescent="0.2">
      <c r="A32" s="92"/>
      <c r="B32" s="85"/>
      <c r="C32" s="87"/>
      <c r="D32" s="89"/>
      <c r="E32" s="53">
        <f t="shared" ref="E32" si="6">(C32*D32)</f>
        <v>0</v>
      </c>
      <c r="F32" s="9"/>
      <c r="G32" s="35" t="s">
        <v>34</v>
      </c>
      <c r="H32" s="36">
        <f>H31/H29</f>
        <v>3630</v>
      </c>
      <c r="I32" s="37" t="s">
        <v>39</v>
      </c>
      <c r="J32" s="37"/>
      <c r="K32" s="60"/>
    </row>
    <row r="33" spans="1:8" x14ac:dyDescent="0.2">
      <c r="A33" s="92"/>
      <c r="B33" s="85"/>
      <c r="C33" s="87"/>
      <c r="D33" s="89"/>
      <c r="E33" s="53">
        <f t="shared" si="4"/>
        <v>0</v>
      </c>
      <c r="F33" s="9"/>
      <c r="H33" s="82"/>
    </row>
    <row r="34" spans="1:8" x14ac:dyDescent="0.2">
      <c r="A34" s="92"/>
      <c r="B34" s="85"/>
      <c r="C34" s="87"/>
      <c r="D34" s="89"/>
      <c r="E34" s="53">
        <f t="shared" si="4"/>
        <v>0</v>
      </c>
      <c r="F34" s="9"/>
      <c r="H34" s="82"/>
    </row>
    <row r="35" spans="1:8" x14ac:dyDescent="0.2">
      <c r="A35" s="92"/>
      <c r="B35" s="85"/>
      <c r="C35" s="87"/>
      <c r="D35" s="89"/>
      <c r="E35" s="53">
        <f t="shared" ref="E35" si="7">(C35*D35)</f>
        <v>0</v>
      </c>
      <c r="F35" s="9"/>
      <c r="H35" s="82"/>
    </row>
    <row r="36" spans="1:8" ht="15" x14ac:dyDescent="0.2">
      <c r="A36" s="81" t="s">
        <v>50</v>
      </c>
      <c r="B36" s="26">
        <f>SUM(E6:E35)</f>
        <v>3381.4555000000005</v>
      </c>
      <c r="C36" s="90">
        <v>6</v>
      </c>
      <c r="D36" s="89">
        <v>0.08</v>
      </c>
      <c r="E36" s="17">
        <f>B36*(C36/12)*D36</f>
        <v>135.25822000000002</v>
      </c>
      <c r="F36" s="9"/>
      <c r="H36" s="82"/>
    </row>
    <row r="37" spans="1:8" x14ac:dyDescent="0.2">
      <c r="A37" s="20" t="s">
        <v>51</v>
      </c>
      <c r="B37" s="21"/>
      <c r="C37" s="21"/>
      <c r="D37" s="21"/>
      <c r="E37" s="22">
        <f>SUM(E6:E36)</f>
        <v>3516.7137200000006</v>
      </c>
      <c r="F37" s="9"/>
    </row>
    <row r="38" spans="1:8" x14ac:dyDescent="0.2">
      <c r="A38" s="12"/>
      <c r="E38" s="11"/>
      <c r="F38" s="9"/>
    </row>
    <row r="39" spans="1:8" x14ac:dyDescent="0.2">
      <c r="A39" s="13" t="s">
        <v>52</v>
      </c>
      <c r="B39" s="16"/>
      <c r="C39" s="16"/>
      <c r="D39" s="16"/>
      <c r="E39" s="16"/>
      <c r="F39" s="9"/>
    </row>
    <row r="40" spans="1:8" x14ac:dyDescent="0.2">
      <c r="A40" s="23" t="s">
        <v>2</v>
      </c>
      <c r="B40" s="23" t="s">
        <v>3</v>
      </c>
      <c r="C40" s="23" t="s">
        <v>4</v>
      </c>
      <c r="D40" s="23" t="s">
        <v>5</v>
      </c>
      <c r="E40" s="24" t="s">
        <v>6</v>
      </c>
      <c r="F40" s="9"/>
    </row>
    <row r="41" spans="1:8" x14ac:dyDescent="0.2">
      <c r="A41" s="51" t="s">
        <v>54</v>
      </c>
      <c r="B41" s="51" t="s">
        <v>55</v>
      </c>
      <c r="C41" s="85">
        <v>9.24</v>
      </c>
      <c r="D41" s="86">
        <v>1</v>
      </c>
      <c r="E41" s="53">
        <f>C41*D41</f>
        <v>9.24</v>
      </c>
      <c r="F41" s="9"/>
    </row>
    <row r="42" spans="1:8" x14ac:dyDescent="0.2">
      <c r="A42" s="51" t="s">
        <v>56</v>
      </c>
      <c r="B42" s="51" t="s">
        <v>55</v>
      </c>
      <c r="C42" s="85">
        <v>10.220000000000001</v>
      </c>
      <c r="D42" s="86">
        <v>8</v>
      </c>
      <c r="E42" s="53">
        <f>C42*D42</f>
        <v>81.760000000000005</v>
      </c>
      <c r="F42" s="9"/>
    </row>
    <row r="43" spans="1:8" x14ac:dyDescent="0.2">
      <c r="A43" s="51" t="s">
        <v>57</v>
      </c>
      <c r="B43" s="51" t="s">
        <v>42</v>
      </c>
      <c r="C43" s="85">
        <v>18.7</v>
      </c>
      <c r="D43" s="86">
        <v>1</v>
      </c>
      <c r="E43" s="53">
        <f>C43*D43</f>
        <v>18.7</v>
      </c>
      <c r="F43" s="9"/>
    </row>
    <row r="44" spans="1:8" x14ac:dyDescent="0.2">
      <c r="A44" s="51" t="s">
        <v>58</v>
      </c>
      <c r="B44" s="51" t="s">
        <v>42</v>
      </c>
      <c r="C44" s="85">
        <v>31.16</v>
      </c>
      <c r="D44" s="86">
        <v>1</v>
      </c>
      <c r="E44" s="53">
        <f t="shared" ref="E44:E50" si="8">C44*D44</f>
        <v>31.16</v>
      </c>
      <c r="F44" s="9"/>
    </row>
    <row r="45" spans="1:8" x14ac:dyDescent="0.2">
      <c r="A45" s="51" t="s">
        <v>59</v>
      </c>
      <c r="B45" s="51" t="s">
        <v>42</v>
      </c>
      <c r="C45" s="85">
        <v>23.87</v>
      </c>
      <c r="D45" s="86">
        <v>1</v>
      </c>
      <c r="E45" s="53">
        <f t="shared" si="8"/>
        <v>23.87</v>
      </c>
      <c r="F45" s="9"/>
    </row>
    <row r="46" spans="1:8" x14ac:dyDescent="0.2">
      <c r="A46" s="51" t="s">
        <v>60</v>
      </c>
      <c r="B46" s="51" t="s">
        <v>42</v>
      </c>
      <c r="C46" s="85">
        <v>19.91</v>
      </c>
      <c r="D46" s="86">
        <v>1</v>
      </c>
      <c r="E46" s="53">
        <f t="shared" si="8"/>
        <v>19.91</v>
      </c>
      <c r="F46" s="9"/>
    </row>
    <row r="47" spans="1:8" x14ac:dyDescent="0.2">
      <c r="A47" s="51" t="s">
        <v>41</v>
      </c>
      <c r="B47" s="51" t="s">
        <v>42</v>
      </c>
      <c r="C47" s="85">
        <v>168.28</v>
      </c>
      <c r="D47" s="86">
        <v>1</v>
      </c>
      <c r="E47" s="53">
        <f>C47*D47</f>
        <v>168.28</v>
      </c>
      <c r="F47" s="11"/>
    </row>
    <row r="48" spans="1:8" x14ac:dyDescent="0.2">
      <c r="A48" s="51" t="s">
        <v>43</v>
      </c>
      <c r="B48" s="51" t="s">
        <v>42</v>
      </c>
      <c r="C48" s="85">
        <v>18.7</v>
      </c>
      <c r="D48" s="86">
        <v>1</v>
      </c>
      <c r="E48" s="53">
        <f>C48*D48</f>
        <v>18.7</v>
      </c>
      <c r="F48" s="11"/>
    </row>
    <row r="49" spans="1:14" x14ac:dyDescent="0.2">
      <c r="A49" s="51" t="s">
        <v>46</v>
      </c>
      <c r="B49" s="51" t="s">
        <v>42</v>
      </c>
      <c r="C49" s="85">
        <v>12.47</v>
      </c>
      <c r="D49" s="86">
        <v>1</v>
      </c>
      <c r="E49" s="53">
        <f>C49*D49</f>
        <v>12.47</v>
      </c>
      <c r="F49" s="11"/>
    </row>
    <row r="50" spans="1:14" ht="15" x14ac:dyDescent="0.2">
      <c r="A50" s="51" t="s">
        <v>74</v>
      </c>
      <c r="B50" s="51" t="s">
        <v>81</v>
      </c>
      <c r="C50" s="85">
        <v>200</v>
      </c>
      <c r="D50" s="86">
        <v>1</v>
      </c>
      <c r="E50" s="53">
        <f t="shared" si="8"/>
        <v>200</v>
      </c>
      <c r="F50" s="11"/>
    </row>
    <row r="51" spans="1:14" ht="15" x14ac:dyDescent="0.2">
      <c r="A51" s="51" t="s">
        <v>75</v>
      </c>
      <c r="B51" s="51" t="s">
        <v>61</v>
      </c>
      <c r="C51" s="85">
        <v>7.68</v>
      </c>
      <c r="D51" s="86">
        <v>4</v>
      </c>
      <c r="E51" s="53">
        <f>C51*D51</f>
        <v>30.72</v>
      </c>
      <c r="F51" s="11"/>
    </row>
    <row r="52" spans="1:14" x14ac:dyDescent="0.2">
      <c r="A52" s="86"/>
      <c r="B52" s="86"/>
      <c r="C52" s="85"/>
      <c r="D52" s="86"/>
      <c r="E52" s="53">
        <f t="shared" ref="E52:E55" si="9">C52*D52</f>
        <v>0</v>
      </c>
      <c r="F52" s="11"/>
    </row>
    <row r="53" spans="1:14" x14ac:dyDescent="0.2">
      <c r="A53" s="86"/>
      <c r="B53" s="86"/>
      <c r="C53" s="85"/>
      <c r="D53" s="86"/>
      <c r="E53" s="53">
        <f t="shared" si="9"/>
        <v>0</v>
      </c>
      <c r="F53" s="11"/>
    </row>
    <row r="54" spans="1:14" x14ac:dyDescent="0.2">
      <c r="A54" s="86"/>
      <c r="B54" s="86"/>
      <c r="C54" s="85"/>
      <c r="D54" s="86"/>
      <c r="E54" s="53">
        <f t="shared" si="9"/>
        <v>0</v>
      </c>
      <c r="F54" s="11"/>
    </row>
    <row r="55" spans="1:14" x14ac:dyDescent="0.2">
      <c r="A55" s="86"/>
      <c r="B55" s="86"/>
      <c r="C55" s="85"/>
      <c r="D55" s="86"/>
      <c r="E55" s="53">
        <f t="shared" si="9"/>
        <v>0</v>
      </c>
      <c r="F55" s="11"/>
    </row>
    <row r="56" spans="1:14" x14ac:dyDescent="0.2">
      <c r="A56" s="51" t="s">
        <v>83</v>
      </c>
      <c r="B56" s="51" t="s">
        <v>42</v>
      </c>
      <c r="C56" s="85">
        <v>125</v>
      </c>
      <c r="D56" s="86">
        <v>1</v>
      </c>
      <c r="E56" s="53">
        <f>C56*D56</f>
        <v>125</v>
      </c>
      <c r="F56" s="11"/>
      <c r="N56" s="1" t="s">
        <v>53</v>
      </c>
    </row>
    <row r="57" spans="1:14" x14ac:dyDescent="0.2">
      <c r="A57" s="20" t="s">
        <v>62</v>
      </c>
      <c r="B57" s="21"/>
      <c r="C57" s="21"/>
      <c r="D57" s="21"/>
      <c r="E57" s="22">
        <f>SUM(E41:E56)</f>
        <v>739.81000000000006</v>
      </c>
      <c r="F57" s="8"/>
    </row>
    <row r="58" spans="1:14" x14ac:dyDescent="0.2">
      <c r="F58" s="8"/>
    </row>
    <row r="59" spans="1:14" x14ac:dyDescent="0.2">
      <c r="A59" s="74" t="s">
        <v>86</v>
      </c>
      <c r="B59" s="75"/>
      <c r="C59" s="76"/>
      <c r="D59" s="76"/>
      <c r="E59" s="77">
        <f>E57+E37</f>
        <v>4256.523720000001</v>
      </c>
      <c r="F59" s="9"/>
    </row>
    <row r="60" spans="1:14" x14ac:dyDescent="0.2">
      <c r="A60" s="74" t="s">
        <v>87</v>
      </c>
      <c r="B60" s="75"/>
      <c r="C60" s="76"/>
      <c r="D60" s="76"/>
      <c r="E60" s="77">
        <f>H9*J7</f>
        <v>5500</v>
      </c>
    </row>
    <row r="61" spans="1:14" x14ac:dyDescent="0.2">
      <c r="A61" s="74" t="s">
        <v>88</v>
      </c>
      <c r="B61" s="78"/>
      <c r="C61" s="79"/>
      <c r="D61" s="79"/>
      <c r="E61" s="80">
        <f>SUM(E60-E59)</f>
        <v>1243.476279999999</v>
      </c>
      <c r="F61" s="9"/>
    </row>
    <row r="62" spans="1:14" x14ac:dyDescent="0.2">
      <c r="L62" s="42"/>
    </row>
    <row r="63" spans="1:14" ht="15" x14ac:dyDescent="0.2">
      <c r="A63" s="44" t="s">
        <v>70</v>
      </c>
      <c r="F63" s="9"/>
      <c r="G63" s="29">
        <f>H30</f>
        <v>0.5</v>
      </c>
      <c r="H63" s="1" t="s">
        <v>67</v>
      </c>
      <c r="I63" s="10"/>
      <c r="J63" s="10"/>
      <c r="K63" s="10"/>
    </row>
    <row r="64" spans="1:14" x14ac:dyDescent="0.2">
      <c r="B64" s="2"/>
      <c r="C64" s="2"/>
      <c r="D64" s="2"/>
      <c r="E64" s="3"/>
      <c r="F64" s="9"/>
      <c r="G64" s="10"/>
      <c r="H64" s="10"/>
      <c r="I64" s="10"/>
      <c r="J64" s="10"/>
      <c r="K64" s="10"/>
    </row>
    <row r="65" spans="1:12" ht="15" x14ac:dyDescent="0.2">
      <c r="A65" s="1" t="s">
        <v>72</v>
      </c>
      <c r="F65" s="9"/>
      <c r="G65" s="10"/>
      <c r="H65" s="10"/>
    </row>
    <row r="66" spans="1:12" x14ac:dyDescent="0.2">
      <c r="F66" s="9"/>
    </row>
    <row r="67" spans="1:12" ht="15" x14ac:dyDescent="0.2">
      <c r="A67" s="1" t="s">
        <v>76</v>
      </c>
      <c r="F67" s="9"/>
    </row>
    <row r="68" spans="1:12" x14ac:dyDescent="0.2">
      <c r="A68" s="1" t="s">
        <v>63</v>
      </c>
      <c r="F68" s="9"/>
      <c r="L68" s="10"/>
    </row>
    <row r="69" spans="1:12" x14ac:dyDescent="0.2">
      <c r="A69" s="1" t="s">
        <v>64</v>
      </c>
      <c r="F69" s="9"/>
      <c r="L69" s="10"/>
    </row>
    <row r="70" spans="1:12" x14ac:dyDescent="0.2">
      <c r="F70" s="9"/>
      <c r="L70" s="10"/>
    </row>
    <row r="71" spans="1:12" x14ac:dyDescent="0.2">
      <c r="L71" s="10"/>
    </row>
    <row r="72" spans="1:12" x14ac:dyDescent="0.2">
      <c r="F72" s="9"/>
      <c r="L72" s="10"/>
    </row>
    <row r="73" spans="1:12" x14ac:dyDescent="0.2">
      <c r="F73" s="9"/>
      <c r="L73" s="10"/>
    </row>
    <row r="74" spans="1:12" x14ac:dyDescent="0.2">
      <c r="F74" s="9"/>
      <c r="L74" s="10"/>
    </row>
    <row r="75" spans="1:12" x14ac:dyDescent="0.2">
      <c r="F75" s="3"/>
      <c r="L75" s="10"/>
    </row>
    <row r="76" spans="1:12" x14ac:dyDescent="0.2">
      <c r="L76" s="10"/>
    </row>
    <row r="77" spans="1:12" x14ac:dyDescent="0.2">
      <c r="L77" s="10"/>
    </row>
    <row r="78" spans="1:12" x14ac:dyDescent="0.2">
      <c r="L78" s="10"/>
    </row>
    <row r="79" spans="1:12" x14ac:dyDescent="0.2">
      <c r="L79" s="10"/>
    </row>
    <row r="80" spans="1:12" x14ac:dyDescent="0.2">
      <c r="L80" s="10"/>
    </row>
    <row r="81" spans="6:12" x14ac:dyDescent="0.2">
      <c r="L81" s="10"/>
    </row>
    <row r="82" spans="6:12" x14ac:dyDescent="0.2">
      <c r="L82" s="10"/>
    </row>
    <row r="83" spans="6:12" x14ac:dyDescent="0.2">
      <c r="L83" s="10"/>
    </row>
    <row r="84" spans="6:12" x14ac:dyDescent="0.2">
      <c r="F84" s="3"/>
      <c r="L84" s="10"/>
    </row>
    <row r="85" spans="6:12" x14ac:dyDescent="0.2">
      <c r="L85" s="10"/>
    </row>
  </sheetData>
  <pageMargins left="0.75" right="0.75" top="1" bottom="1" header="0.5" footer="0.5"/>
  <pageSetup scale="75" orientation="portrait" cellComments="atEnd" horizontalDpi="300" verticalDpi="300" r:id="rId1"/>
  <headerFooter alignWithMargins="0"/>
  <ignoredErrors>
    <ignoredError sqref="E26 E29 E3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Estimated</vt:lpstr>
      <vt:lpstr>Actual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Ellen W. Jennings</dc:creator>
  <cp:keywords/>
  <dc:description/>
  <cp:lastModifiedBy>Nathaniel Bruce</cp:lastModifiedBy>
  <cp:revision/>
  <dcterms:created xsi:type="dcterms:W3CDTF">2000-09-13T10:07:55Z</dcterms:created>
  <dcterms:modified xsi:type="dcterms:W3CDTF">2023-03-16T15:09:44Z</dcterms:modified>
  <cp:category/>
  <cp:contentStatus/>
</cp:coreProperties>
</file>